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16" yWindow="65416" windowWidth="29040" windowHeight="15840" activeTab="0"/>
  </bookViews>
  <sheets>
    <sheet name=" alarm pressure calculator" sheetId="1" r:id="rId1"/>
    <sheet name="unit calculator"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Berg, Jost</author>
  </authors>
  <commentList>
    <comment ref="L102" authorId="0">
      <text>
        <r>
          <rPr>
            <b/>
            <sz val="9"/>
            <rFont val="Segoe UI"/>
            <family val="2"/>
          </rPr>
          <t xml:space="preserve"> 1 wenn "0" eingegeben wenn keine Druckleitung
</t>
        </r>
        <r>
          <rPr>
            <sz val="9"/>
            <rFont val="Segoe UI"/>
            <family val="2"/>
          </rPr>
          <t xml:space="preserve">
</t>
        </r>
      </text>
    </comment>
  </commentList>
</comments>
</file>

<file path=xl/sharedStrings.xml><?xml version="1.0" encoding="utf-8"?>
<sst xmlns="http://schemas.openxmlformats.org/spreadsheetml/2006/main" count="187" uniqueCount="142">
  <si>
    <t>unterirdischer Behälter</t>
  </si>
  <si>
    <t xml:space="preserve">oberirdischer Behälter </t>
  </si>
  <si>
    <t>Flachbodentank</t>
  </si>
  <si>
    <t>Bauhöhe in cm:</t>
  </si>
  <si>
    <t>underground tank</t>
  </si>
  <si>
    <t>flat bottom bulk storage tank</t>
  </si>
  <si>
    <t>DE</t>
  </si>
  <si>
    <t>EN</t>
  </si>
  <si>
    <t>FR</t>
  </si>
  <si>
    <t>ES</t>
  </si>
  <si>
    <t>IT</t>
  </si>
  <si>
    <t>tuyauterie</t>
  </si>
  <si>
    <t>Auswahlt:</t>
  </si>
  <si>
    <t>Behältertyp:</t>
  </si>
  <si>
    <t>type de réservoir:</t>
  </si>
  <si>
    <t>Überlagerungsdruck in mbar:</t>
  </si>
  <si>
    <r>
      <t>Lagergutdichte in g/cm</t>
    </r>
    <r>
      <rPr>
        <vertAlign val="superscript"/>
        <sz val="11"/>
        <color theme="1"/>
        <rFont val="Calibri"/>
        <family val="2"/>
        <scheme val="minor"/>
      </rPr>
      <t>3:</t>
    </r>
  </si>
  <si>
    <r>
      <t>Density in g/cm</t>
    </r>
    <r>
      <rPr>
        <vertAlign val="superscript"/>
        <sz val="11"/>
        <color theme="1"/>
        <rFont val="Calibri"/>
        <family val="2"/>
        <scheme val="minor"/>
      </rPr>
      <t>3:</t>
    </r>
  </si>
  <si>
    <t>Druck</t>
  </si>
  <si>
    <t>Vakuum</t>
  </si>
  <si>
    <t xml:space="preserve"> (0,1 &lt; X &lt; 2,0 )</t>
  </si>
  <si>
    <t>Rohrleitungstyp:</t>
  </si>
  <si>
    <t>Druckrohrleitung</t>
  </si>
  <si>
    <t xml:space="preserve">Füll-, Gasrückführungsrohre (Tankstelle) </t>
  </si>
  <si>
    <t>zwischen tiefsten Punkt und höchsten Punkt</t>
  </si>
  <si>
    <t>Anschlusspunkt des Leckanzeigers am Tiefpunkt</t>
  </si>
  <si>
    <t>Overlay pressure in mbar:</t>
  </si>
  <si>
    <t xml:space="preserve"> 0 mbar bei atmosphärischem Betrieb</t>
  </si>
  <si>
    <t>unterirdisch</t>
  </si>
  <si>
    <t>between hightest and deepest point</t>
  </si>
  <si>
    <t>Anschlusspunkt des Leckanzeigers am Hochpunkt</t>
  </si>
  <si>
    <t>Drucklose Leitungen</t>
  </si>
  <si>
    <t>cm</t>
  </si>
  <si>
    <t xml:space="preserve">oberirdisch </t>
  </si>
  <si>
    <t>Verlegung der Rohrleitung:</t>
  </si>
  <si>
    <t>Pipe installation:</t>
  </si>
  <si>
    <t>Hmax:</t>
  </si>
  <si>
    <t>underground</t>
  </si>
  <si>
    <t>Fill- / vent pipes (petrol station)</t>
  </si>
  <si>
    <t>H1 + H2 = Hmax:</t>
  </si>
  <si>
    <t>Behälter mit Leckschutzauskleidung und Saugleitung</t>
  </si>
  <si>
    <t>tank equipped with lining and with suction line</t>
  </si>
  <si>
    <t>Vertikal stehender Behälter mit Saugleitung (DIN 6618 u.ä.)</t>
  </si>
  <si>
    <t xml:space="preserve">vertical tank with suction line </t>
  </si>
  <si>
    <t>EINSCHRÄNKUNGEN</t>
  </si>
  <si>
    <t>Stehtank</t>
  </si>
  <si>
    <t>C8</t>
  </si>
  <si>
    <t>C6</t>
  </si>
  <si>
    <t>Rohre:</t>
  </si>
  <si>
    <t>Pipes:</t>
  </si>
  <si>
    <t>Behälter:</t>
  </si>
  <si>
    <t>Réservoir:</t>
  </si>
  <si>
    <t>Mindest-Alarmdruck für:</t>
  </si>
  <si>
    <t>Minimum alarm pressure for:</t>
  </si>
  <si>
    <t>Language:</t>
  </si>
  <si>
    <t>Sprachauswahl:</t>
  </si>
  <si>
    <t>Tanks:</t>
  </si>
  <si>
    <t>mbar</t>
  </si>
  <si>
    <t>bar</t>
  </si>
  <si>
    <t xml:space="preserve">Zusatzinformationen für Vakuum: </t>
  </si>
  <si>
    <t>Additional information for vacuum:</t>
  </si>
  <si>
    <t>(0,1 &lt; X &lt; 2,0 )</t>
  </si>
  <si>
    <t>W/F</t>
  </si>
  <si>
    <t>Type of tank:</t>
  </si>
  <si>
    <t xml:space="preserve">Height in cm: </t>
  </si>
  <si>
    <t>Enter "0" at atmospheric operation</t>
  </si>
  <si>
    <t>Type of pipe</t>
  </si>
  <si>
    <t>Pressure pipe</t>
  </si>
  <si>
    <t>Pressureless pipes</t>
  </si>
  <si>
    <t xml:space="preserve">Geodetic height different in cm </t>
  </si>
  <si>
    <t xml:space="preserve">Bitte beachten Sie die einzuhaltenden Vorgaben aus den jeweiligen Dokumentationen zu unseren Leckanzeigern. </t>
  </si>
  <si>
    <t xml:space="preserve">Vakuum: </t>
  </si>
  <si>
    <t xml:space="preserve">Druck: </t>
  </si>
  <si>
    <t xml:space="preserve">Vacuum: </t>
  </si>
  <si>
    <t xml:space="preserve">Pressure: </t>
  </si>
  <si>
    <t>Max. Förderdruck im Innenrohr in bar:</t>
  </si>
  <si>
    <t>Max. feed pressure in inner pipe:</t>
  </si>
  <si>
    <t>Connection of leak detector at deepest point</t>
  </si>
  <si>
    <t>Connection of leak detector at highest point</t>
  </si>
  <si>
    <t>Für Saugleitungen bitte Behälterdurchmesser angeben</t>
  </si>
  <si>
    <t>For suction lines please enter tank diameter</t>
  </si>
  <si>
    <t>Geodätischer Höhenunterschied in cm.</t>
  </si>
  <si>
    <t>Please check the requirements for our leak detectors as given in the documentations.</t>
  </si>
  <si>
    <t>Behälter</t>
  </si>
  <si>
    <t>Sprache</t>
  </si>
  <si>
    <t>Rohre</t>
  </si>
  <si>
    <t>Texte</t>
  </si>
  <si>
    <t>Please fill in all "?" marked criteria</t>
  </si>
  <si>
    <t xml:space="preserve">Bitte "?"- Angaben vervollständigen. </t>
  </si>
  <si>
    <t xml:space="preserve">Saugleitung an Tankstelle </t>
  </si>
  <si>
    <t>Suction pipe at petrol station</t>
  </si>
  <si>
    <t>Kein Ergebnis? Bitte kontaktieren Sie unser Verkaufsteam.</t>
  </si>
  <si>
    <t>No result? Please contact our sales team.</t>
  </si>
  <si>
    <t>PSI G</t>
  </si>
  <si>
    <t>HG" G</t>
  </si>
  <si>
    <t>mmWS</t>
  </si>
  <si>
    <t>Pascal</t>
  </si>
  <si>
    <t xml:space="preserve"> -</t>
  </si>
  <si>
    <t xml:space="preserve">foot </t>
  </si>
  <si>
    <t>inch</t>
  </si>
  <si>
    <t>foot</t>
  </si>
  <si>
    <t>Temperatur</t>
  </si>
  <si>
    <t>Temperature</t>
  </si>
  <si>
    <t>°C</t>
  </si>
  <si>
    <t>°F</t>
  </si>
  <si>
    <t>Volumen</t>
  </si>
  <si>
    <t>Liter</t>
  </si>
  <si>
    <t>Litres</t>
  </si>
  <si>
    <t>Volume</t>
  </si>
  <si>
    <t>Pound/Gallon</t>
  </si>
  <si>
    <t>-</t>
  </si>
  <si>
    <r>
      <t>g/cm</t>
    </r>
    <r>
      <rPr>
        <vertAlign val="superscript"/>
        <sz val="10"/>
        <rFont val="Arial"/>
        <family val="2"/>
      </rPr>
      <t>3</t>
    </r>
  </si>
  <si>
    <t xml:space="preserve">Dichte </t>
  </si>
  <si>
    <t>Density</t>
  </si>
  <si>
    <t>Gallon (US)</t>
  </si>
  <si>
    <t>Gallonen (US)</t>
  </si>
  <si>
    <t>Länge</t>
  </si>
  <si>
    <t>Length</t>
  </si>
  <si>
    <t xml:space="preserve">Pressure </t>
  </si>
  <si>
    <t>Einheitenrechner für:</t>
  </si>
  <si>
    <t xml:space="preserve">Unit calculators for: </t>
  </si>
  <si>
    <t>foot + inch</t>
  </si>
  <si>
    <t>&gt;" 0"  bei Druckrohrleitungen, sonst "0".</t>
  </si>
  <si>
    <t>&gt; "0"  for pressure pipes, elsewise "0".</t>
  </si>
  <si>
    <t>Calculation of the minimum alarm pressure:</t>
  </si>
  <si>
    <t>aboveground tank</t>
  </si>
  <si>
    <t>aboveground</t>
  </si>
  <si>
    <t>Berechnung des Mindest-Alarmdruckes:</t>
  </si>
  <si>
    <t>Neben dem Auswahlkriterium „Alarmdruck“ müssen zur endgültigen Bestimmung des geeigneten Leckanzeigers weitere Faktoren wie die hinreichende Druckfestigkeit des Überwachungsraums sowie die chemische und explosionstechnische Eignung des Leckanzeigers bzw. des gesamten einzusetzenden Equipments beachtet werden!</t>
  </si>
  <si>
    <t>Einheitenrechner</t>
  </si>
  <si>
    <t xml:space="preserve">Unit calculator </t>
  </si>
  <si>
    <t>Zurück zum Alarmdruck-Rechner</t>
  </si>
  <si>
    <t>Back to alarm pressure calculator</t>
  </si>
  <si>
    <t>In addition to the selection criterion "alarm pressure", other factors such as the adequate pressure resistance of the interstitial space as well as the chemical and explosion-technical suitability of the leak detector and the entire equipment to be used must be taken into account for the final determination of the suitable leak detector!</t>
  </si>
  <si>
    <t>Unser Verkaufsteam berät Sie gerne:  +49 271 48964-0</t>
  </si>
  <si>
    <t>Our sales team will be pleased to advise you:  +49 271 48964-0</t>
  </si>
  <si>
    <t>H1</t>
  </si>
  <si>
    <t>H2</t>
  </si>
  <si>
    <t>Höhe zwischen Anschlusspunkt an der Rohrleitung und Knotenpunkt (Verbindungsstelle zwischen Mess- und Saugleitung).</t>
  </si>
  <si>
    <t>Höhe zwischen tiefstem Punkt der Rohrleitung und dem Anschlusspunkt an der Rohrleitung.</t>
  </si>
  <si>
    <t xml:space="preserve">Height between lowest point of the pipe and the connection point to the pipe. </t>
  </si>
  <si>
    <t>Height between connection point to the pipe and the node-point (connection suction and measuring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</si>
</sst>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31">
    <font>
      <sz val="11"/>
      <color theme="1"/>
      <name val="Calibri"/>
      <family val="2"/>
      <scheme val="minor"/>
    </font>
    <font>
      <sz val="10"/>
      <name val="Arial"/>
      <family val="2"/>
    </font>
    <font>
      <b/>
      <sz val="11"/>
      <color theme="1"/>
      <name val="Calibri"/>
      <family val="2"/>
      <scheme val="minor"/>
    </font>
    <font>
      <vertAlign val="superscript"/>
      <sz val="11"/>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b/>
      <sz val="16"/>
      <color theme="1"/>
      <name val="Calibri"/>
      <family val="2"/>
      <scheme val="minor"/>
    </font>
    <font>
      <sz val="14"/>
      <color theme="1"/>
      <name val="Calibri"/>
      <family val="2"/>
      <scheme val="minor"/>
    </font>
    <font>
      <b/>
      <u val="single"/>
      <sz val="18"/>
      <color theme="1"/>
      <name val="Calibri"/>
      <family val="2"/>
      <scheme val="minor"/>
    </font>
    <font>
      <u val="single"/>
      <sz val="11"/>
      <color theme="1"/>
      <name val="Calibri"/>
      <family val="2"/>
      <scheme val="minor"/>
    </font>
    <font>
      <b/>
      <sz val="12"/>
      <color rgb="FFFF0000"/>
      <name val="Calibri"/>
      <family val="2"/>
      <scheme val="minor"/>
    </font>
    <font>
      <sz val="12"/>
      <color theme="1"/>
      <name val="Calibri"/>
      <family val="2"/>
      <scheme val="minor"/>
    </font>
    <font>
      <sz val="20"/>
      <color theme="1"/>
      <name val="Calibri"/>
      <family val="2"/>
      <scheme val="minor"/>
    </font>
    <font>
      <i/>
      <sz val="11"/>
      <color rgb="FFC00000"/>
      <name val="Calibri"/>
      <family val="2"/>
      <scheme val="minor"/>
    </font>
    <font>
      <b/>
      <sz val="10"/>
      <name val="Arial"/>
      <family val="2"/>
    </font>
    <font>
      <vertAlign val="superscript"/>
      <sz val="10"/>
      <name val="Arial"/>
      <family val="2"/>
    </font>
    <font>
      <sz val="9"/>
      <name val="Arial"/>
      <family val="2"/>
    </font>
    <font>
      <b/>
      <sz val="10"/>
      <color theme="1"/>
      <name val="Arial"/>
      <family val="2"/>
    </font>
    <font>
      <sz val="10"/>
      <color theme="1"/>
      <name val="Arial"/>
      <family val="2"/>
    </font>
    <font>
      <sz val="10"/>
      <color theme="2" tint="-0.24997000396251678"/>
      <name val="Arial"/>
      <family val="2"/>
    </font>
    <font>
      <sz val="9"/>
      <name val="Segoe UI"/>
      <family val="2"/>
    </font>
    <font>
      <b/>
      <sz val="9"/>
      <name val="Segoe UI"/>
      <family val="2"/>
    </font>
    <font>
      <b/>
      <sz val="14"/>
      <color rgb="FFFF0000"/>
      <name val="Calibri"/>
      <family val="2"/>
      <scheme val="minor"/>
    </font>
    <font>
      <u val="single"/>
      <sz val="11"/>
      <color theme="10"/>
      <name val="Calibri"/>
      <family val="2"/>
      <scheme val="minor"/>
    </font>
    <font>
      <sz val="10"/>
      <color theme="1"/>
      <name val="Calibri"/>
      <family val="2"/>
      <scheme val="minor"/>
    </font>
    <font>
      <sz val="9"/>
      <color theme="1"/>
      <name val="Calibri"/>
      <family val="2"/>
      <scheme val="minor"/>
    </font>
    <font>
      <sz val="11"/>
      <color theme="1"/>
      <name val="Calibri"/>
      <family val="2"/>
    </font>
    <font>
      <sz val="11"/>
      <color theme="0"/>
      <name val="Calibri"/>
      <family val="2"/>
    </font>
    <font>
      <b/>
      <sz val="8"/>
      <name val="Calibri"/>
      <family val="2"/>
    </font>
    <font>
      <sz val="11"/>
      <color theme="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theme="0" tint="-0.24997000396251678"/>
        <bgColor indexed="64"/>
      </patternFill>
    </fill>
  </fills>
  <borders count="26">
    <border>
      <left/>
      <right/>
      <top/>
      <bottom/>
      <diagonal/>
    </border>
    <border>
      <left style="thin"/>
      <right style="thin"/>
      <top style="thin"/>
      <bottom style="thin"/>
    </border>
    <border>
      <left style="thin"/>
      <right style="thin"/>
      <top/>
      <bottom style="thin"/>
    </border>
    <border>
      <left style="medium"/>
      <right style="medium"/>
      <top style="medium"/>
      <bottom style="medium"/>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thin"/>
    </border>
    <border>
      <left style="thin"/>
      <right/>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style="medium"/>
    </border>
    <border>
      <left/>
      <right/>
      <top style="medium"/>
      <bottom style="medium"/>
    </border>
    <border>
      <left/>
      <right style="medium"/>
      <top style="medium"/>
      <bottom style="medium"/>
    </border>
    <border>
      <left style="medium"/>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4" fillId="0" borderId="0" applyNumberFormat="0" applyFill="0" applyBorder="0" applyAlignment="0" applyProtection="0"/>
  </cellStyleXfs>
  <cellXfs count="145">
    <xf numFmtId="0" fontId="0" fillId="0" borderId="0" xfId="0"/>
    <xf numFmtId="0" fontId="0" fillId="0" borderId="0" xfId="0" applyProtection="1">
      <protection hidden="1"/>
    </xf>
    <xf numFmtId="0" fontId="0" fillId="2" borderId="1" xfId="0" applyFill="1" applyBorder="1" applyAlignment="1">
      <alignment horizontal="center" vertical="center"/>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0" fillId="2" borderId="0" xfId="0"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applyAlignment="1" applyProtection="1">
      <alignment horizontal="center" vertical="center"/>
      <protection/>
    </xf>
    <xf numFmtId="0" fontId="0" fillId="3" borderId="1" xfId="0" applyFill="1" applyBorder="1" applyProtection="1">
      <protection hidden="1"/>
    </xf>
    <xf numFmtId="0" fontId="0" fillId="4" borderId="1" xfId="0" applyFill="1" applyBorder="1" applyProtection="1">
      <protection hidden="1"/>
    </xf>
    <xf numFmtId="0" fontId="0" fillId="5" borderId="1" xfId="0" applyFill="1" applyBorder="1" applyProtection="1">
      <protection hidden="1"/>
    </xf>
    <xf numFmtId="0" fontId="0" fillId="4" borderId="1" xfId="0" applyFill="1" applyBorder="1" applyAlignment="1" applyProtection="1">
      <alignment vertical="top"/>
      <protection hidden="1"/>
    </xf>
    <xf numFmtId="0" fontId="0" fillId="5" borderId="1" xfId="0" applyFill="1" applyBorder="1" applyAlignment="1" applyProtection="1">
      <alignment vertical="top"/>
      <protection hidden="1"/>
    </xf>
    <xf numFmtId="0" fontId="2" fillId="4" borderId="1" xfId="0" applyFont="1" applyFill="1" applyBorder="1" applyAlignment="1" applyProtection="1">
      <alignment vertical="top"/>
      <protection hidden="1"/>
    </xf>
    <xf numFmtId="0" fontId="0" fillId="4" borderId="1" xfId="0" applyFont="1" applyFill="1" applyBorder="1" applyAlignment="1" applyProtection="1">
      <alignment vertical="top"/>
      <protection hidden="1"/>
    </xf>
    <xf numFmtId="0" fontId="0" fillId="3" borderId="1" xfId="0"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2" fillId="3" borderId="1" xfId="0" applyFont="1" applyFill="1" applyBorder="1" applyProtection="1">
      <protection hidden="1"/>
    </xf>
    <xf numFmtId="0" fontId="2" fillId="2" borderId="3" xfId="0" applyFont="1" applyFill="1" applyBorder="1" applyAlignment="1" applyProtection="1">
      <alignment horizontal="center" vertical="center"/>
      <protection/>
    </xf>
    <xf numFmtId="0" fontId="2" fillId="2" borderId="3" xfId="0" applyFont="1" applyFill="1" applyBorder="1" applyAlignment="1">
      <alignment horizontal="center"/>
    </xf>
    <xf numFmtId="0" fontId="0" fillId="5" borderId="1" xfId="0" applyFill="1" applyBorder="1" applyAlignment="1" applyProtection="1">
      <alignment vertical="top" wrapText="1"/>
      <protection hidden="1"/>
    </xf>
    <xf numFmtId="0" fontId="0" fillId="3" borderId="4" xfId="0" applyFill="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0" fillId="2" borderId="0" xfId="0" applyFill="1" applyBorder="1"/>
    <xf numFmtId="0" fontId="7" fillId="2" borderId="0" xfId="0" applyFont="1" applyFill="1" applyBorder="1" applyAlignment="1">
      <alignment vertical="center"/>
    </xf>
    <xf numFmtId="0" fontId="0" fillId="2" borderId="0" xfId="0" applyFill="1" applyBorder="1" applyAlignment="1">
      <alignment horizontal="right" vertical="center"/>
    </xf>
    <xf numFmtId="0" fontId="11" fillId="2" borderId="0" xfId="0" applyFont="1" applyFill="1" applyBorder="1"/>
    <xf numFmtId="0" fontId="6" fillId="2" borderId="0" xfId="0" applyFont="1"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horizontal="right" vertical="center" wrapText="1"/>
    </xf>
    <xf numFmtId="0" fontId="4" fillId="2" borderId="0" xfId="0" applyFont="1" applyFill="1" applyBorder="1" applyAlignment="1">
      <alignment horizontal="right" vertical="center"/>
    </xf>
    <xf numFmtId="0" fontId="0" fillId="2" borderId="0" xfId="0" applyFill="1" applyBorder="1" applyAlignment="1">
      <alignment horizontal="left"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0" fillId="2" borderId="0" xfId="0" applyFill="1" applyBorder="1" applyAlignment="1">
      <alignment horizontal="right"/>
    </xf>
    <xf numFmtId="0" fontId="0" fillId="2" borderId="0" xfId="0" applyFont="1" applyFill="1" applyBorder="1" applyAlignment="1">
      <alignment horizontal="right" vertical="center"/>
    </xf>
    <xf numFmtId="0" fontId="10" fillId="2" borderId="0" xfId="0" applyFont="1" applyFill="1" applyBorder="1" applyAlignment="1">
      <alignment horizontal="right" vertical="center"/>
    </xf>
    <xf numFmtId="0" fontId="0" fillId="2" borderId="0" xfId="0" applyFill="1" applyBorder="1" applyAlignment="1">
      <alignment horizontal="center"/>
    </xf>
    <xf numFmtId="0" fontId="0" fillId="2" borderId="0" xfId="0" applyFont="1" applyFill="1" applyBorder="1" applyAlignment="1">
      <alignment horizontal="right" vertical="center" wrapText="1"/>
    </xf>
    <xf numFmtId="0" fontId="4" fillId="2" borderId="0" xfId="0" applyFont="1" applyFill="1" applyBorder="1" applyAlignment="1">
      <alignment horizontal="right" vertical="center" indent="2"/>
    </xf>
    <xf numFmtId="0" fontId="4" fillId="2" borderId="0" xfId="0" applyFont="1" applyFill="1" applyBorder="1" applyAlignment="1">
      <alignment horizontal="right"/>
    </xf>
    <xf numFmtId="0" fontId="0" fillId="2" borderId="0" xfId="0" applyFill="1" applyBorder="1" applyAlignment="1">
      <alignment horizontal="left"/>
    </xf>
    <xf numFmtId="0" fontId="2" fillId="2" borderId="0" xfId="0" applyFont="1" applyFill="1" applyBorder="1" applyAlignment="1">
      <alignment horizontal="right"/>
    </xf>
    <xf numFmtId="0" fontId="0" fillId="0" borderId="0" xfId="0" applyFill="1"/>
    <xf numFmtId="0" fontId="2" fillId="0" borderId="0" xfId="0" applyFont="1" applyFill="1" applyAlignment="1">
      <alignment vertical="center"/>
    </xf>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5" fillId="6" borderId="0" xfId="0" applyFont="1" applyFill="1" applyBorder="1" applyAlignment="1">
      <alignment horizontal="right" vertical="center"/>
    </xf>
    <xf numFmtId="0" fontId="0" fillId="6" borderId="0" xfId="0" applyFill="1" applyBorder="1"/>
    <xf numFmtId="0" fontId="0" fillId="6" borderId="9" xfId="0" applyFill="1" applyBorder="1"/>
    <xf numFmtId="0" fontId="9" fillId="6" borderId="0" xfId="0" applyFont="1" applyFill="1" applyBorder="1" applyAlignment="1">
      <alignment vertical="center"/>
    </xf>
    <xf numFmtId="0" fontId="0" fillId="6" borderId="10" xfId="0" applyFill="1" applyBorder="1"/>
    <xf numFmtId="0" fontId="0" fillId="6" borderId="0" xfId="0" applyFill="1" applyBorder="1" applyAlignment="1">
      <alignment horizontal="right"/>
    </xf>
    <xf numFmtId="0" fontId="0" fillId="6" borderId="11" xfId="0" applyFill="1" applyBorder="1"/>
    <xf numFmtId="0" fontId="2" fillId="6" borderId="0" xfId="0" applyFont="1" applyFill="1" applyBorder="1" applyAlignment="1">
      <alignment vertical="center"/>
    </xf>
    <xf numFmtId="0" fontId="2" fillId="6" borderId="12" xfId="0" applyFont="1" applyFill="1" applyBorder="1" applyAlignment="1">
      <alignment vertical="center"/>
    </xf>
    <xf numFmtId="0" fontId="0" fillId="6" borderId="12" xfId="0" applyFill="1" applyBorder="1"/>
    <xf numFmtId="0" fontId="4" fillId="6" borderId="0" xfId="0" applyFont="1" applyFill="1" applyBorder="1" applyAlignment="1">
      <alignment vertical="center"/>
    </xf>
    <xf numFmtId="0" fontId="12" fillId="6" borderId="0" xfId="0" applyFont="1" applyFill="1" applyBorder="1"/>
    <xf numFmtId="0" fontId="13" fillId="3" borderId="1" xfId="0" applyFont="1" applyFill="1" applyBorder="1" applyAlignment="1" applyProtection="1">
      <alignment horizontal="left" vertical="top"/>
      <protection hidden="1"/>
    </xf>
    <xf numFmtId="0" fontId="0" fillId="3" borderId="1" xfId="0" applyFill="1" applyBorder="1" applyAlignment="1" applyProtection="1">
      <alignment horizontal="left" vertical="top"/>
      <protection hidden="1"/>
    </xf>
    <xf numFmtId="0" fontId="0" fillId="4" borderId="1" xfId="0" applyFill="1" applyBorder="1" applyAlignment="1" applyProtection="1">
      <alignment horizontal="left" vertical="top"/>
      <protection hidden="1"/>
    </xf>
    <xf numFmtId="0" fontId="0" fillId="5" borderId="1" xfId="0" applyFill="1"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Alignment="1">
      <alignment horizontal="left" vertical="top"/>
    </xf>
    <xf numFmtId="0" fontId="0" fillId="5" borderId="1" xfId="0" applyFill="1" applyBorder="1" applyAlignment="1" applyProtection="1">
      <alignment wrapText="1"/>
      <protection hidden="1"/>
    </xf>
    <xf numFmtId="0" fontId="1" fillId="2" borderId="1"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7" fillId="2" borderId="15" xfId="0" applyFont="1" applyFill="1" applyBorder="1" applyAlignment="1">
      <alignment horizontal="center"/>
    </xf>
    <xf numFmtId="0" fontId="17" fillId="2" borderId="16" xfId="0" applyFont="1" applyFill="1" applyBorder="1" applyAlignment="1">
      <alignment horizontal="center"/>
    </xf>
    <xf numFmtId="0" fontId="1" fillId="2" borderId="1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8" xfId="0" applyFont="1" applyFill="1" applyBorder="1" applyAlignment="1">
      <alignment horizontal="center" vertical="center"/>
    </xf>
    <xf numFmtId="0" fontId="18"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14" xfId="0" applyFont="1" applyFill="1" applyBorder="1" applyAlignment="1">
      <alignment horizontal="center"/>
    </xf>
    <xf numFmtId="0" fontId="19" fillId="0" borderId="1" xfId="0" applyFont="1" applyFill="1" applyBorder="1" applyAlignment="1" applyProtection="1">
      <alignment horizontal="center" vertical="center"/>
      <protection locked="0"/>
    </xf>
    <xf numFmtId="2" fontId="19" fillId="0" borderId="1" xfId="0" applyNumberFormat="1" applyFont="1" applyFill="1" applyBorder="1" applyAlignment="1" applyProtection="1">
      <alignment horizontal="center" vertical="center"/>
      <protection locked="0"/>
    </xf>
    <xf numFmtId="3" fontId="19" fillId="0" borderId="15" xfId="0" applyNumberFormat="1" applyFont="1" applyFill="1" applyBorder="1" applyAlignment="1" applyProtection="1">
      <alignment horizontal="center" vertical="center"/>
      <protection locked="0"/>
    </xf>
    <xf numFmtId="2" fontId="19" fillId="2" borderId="15" xfId="0" applyNumberFormat="1" applyFont="1" applyFill="1" applyBorder="1" applyAlignment="1">
      <alignment horizontal="center" vertical="center"/>
    </xf>
    <xf numFmtId="0" fontId="19" fillId="0" borderId="0" xfId="0" applyFont="1"/>
    <xf numFmtId="0" fontId="19" fillId="2" borderId="1" xfId="0" applyFont="1" applyFill="1" applyBorder="1"/>
    <xf numFmtId="0" fontId="19" fillId="2" borderId="15" xfId="0" applyFont="1" applyFill="1" applyBorder="1"/>
    <xf numFmtId="0" fontId="19" fillId="2" borderId="14" xfId="0" applyFont="1" applyFill="1" applyBorder="1" applyAlignment="1">
      <alignment horizontal="center" vertical="center"/>
    </xf>
    <xf numFmtId="2" fontId="19" fillId="2" borderId="22" xfId="0" applyNumberFormat="1" applyFont="1" applyFill="1" applyBorder="1" applyAlignment="1">
      <alignment horizontal="center" vertical="center"/>
    </xf>
    <xf numFmtId="0" fontId="19" fillId="2" borderId="22" xfId="0" applyFont="1" applyFill="1" applyBorder="1"/>
    <xf numFmtId="0" fontId="19" fillId="2" borderId="13" xfId="0" applyFont="1" applyFill="1" applyBorder="1"/>
    <xf numFmtId="0" fontId="15" fillId="2" borderId="5" xfId="0" applyFont="1" applyFill="1" applyBorder="1" applyAlignment="1">
      <alignment vertical="center"/>
    </xf>
    <xf numFmtId="0" fontId="19" fillId="2" borderId="6" xfId="0" applyFont="1" applyFill="1" applyBorder="1"/>
    <xf numFmtId="0" fontId="19" fillId="2" borderId="7" xfId="0" applyFont="1" applyFill="1" applyBorder="1"/>
    <xf numFmtId="0" fontId="19" fillId="0" borderId="1"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165" fontId="19" fillId="2" borderId="17" xfId="0" applyNumberFormat="1" applyFont="1" applyFill="1" applyBorder="1" applyAlignment="1">
      <alignment horizontal="center" vertical="center"/>
    </xf>
    <xf numFmtId="0" fontId="19" fillId="2" borderId="22" xfId="0" applyFont="1" applyFill="1" applyBorder="1" applyAlignment="1">
      <alignment horizontal="center" vertical="center"/>
    </xf>
    <xf numFmtId="0" fontId="19" fillId="0" borderId="1"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2" fontId="19" fillId="2" borderId="15" xfId="0" applyNumberFormat="1" applyFont="1" applyFill="1" applyBorder="1" applyAlignment="1">
      <alignment horizontal="center"/>
    </xf>
    <xf numFmtId="2" fontId="19" fillId="2" borderId="22" xfId="0" applyNumberFormat="1" applyFont="1" applyFill="1" applyBorder="1" applyAlignment="1">
      <alignment horizontal="center"/>
    </xf>
    <xf numFmtId="0" fontId="20" fillId="2" borderId="14" xfId="0" applyFont="1" applyFill="1" applyBorder="1" applyAlignment="1">
      <alignment horizontal="center" vertical="center"/>
    </xf>
    <xf numFmtId="2" fontId="20" fillId="2" borderId="1" xfId="0" applyNumberFormat="1" applyFont="1" applyFill="1" applyBorder="1" applyAlignment="1">
      <alignment horizontal="center" vertical="center"/>
    </xf>
    <xf numFmtId="2" fontId="20" fillId="2" borderId="15"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2" borderId="16" xfId="0" applyFont="1" applyFill="1" applyBorder="1" applyAlignment="1">
      <alignment horizontal="center" vertical="center"/>
    </xf>
    <xf numFmtId="3" fontId="20" fillId="2" borderId="22" xfId="20" applyNumberFormat="1" applyFont="1" applyFill="1" applyBorder="1" applyAlignment="1">
      <alignment horizontal="center" vertical="center"/>
    </xf>
    <xf numFmtId="0" fontId="20" fillId="2" borderId="13" xfId="0" applyFont="1" applyFill="1" applyBorder="1" applyAlignment="1">
      <alignment horizontal="center" vertical="center"/>
    </xf>
    <xf numFmtId="164" fontId="20" fillId="2" borderId="1" xfId="0" applyNumberFormat="1" applyFont="1" applyFill="1" applyBorder="1" applyAlignment="1">
      <alignment horizontal="center" vertical="center"/>
    </xf>
    <xf numFmtId="2" fontId="20" fillId="2" borderId="22" xfId="0" applyNumberFormat="1" applyFont="1" applyFill="1" applyBorder="1" applyAlignment="1">
      <alignment horizontal="center" vertical="center"/>
    </xf>
    <xf numFmtId="0" fontId="20" fillId="2" borderId="22" xfId="0"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0" fillId="2" borderId="23" xfId="0" applyFill="1" applyBorder="1"/>
    <xf numFmtId="0" fontId="0" fillId="2" borderId="24" xfId="0" applyFill="1" applyBorder="1"/>
    <xf numFmtId="0" fontId="4" fillId="2" borderId="25" xfId="0" applyFont="1" applyFill="1" applyBorder="1" applyAlignment="1">
      <alignment vertical="center"/>
    </xf>
    <xf numFmtId="0" fontId="19" fillId="2" borderId="1" xfId="0" applyFont="1" applyFill="1" applyBorder="1" applyAlignment="1">
      <alignment horizontal="center"/>
    </xf>
    <xf numFmtId="0" fontId="23" fillId="2" borderId="0" xfId="0" applyFont="1" applyFill="1" applyBorder="1"/>
    <xf numFmtId="0" fontId="24" fillId="6" borderId="0" xfId="21" applyFill="1" applyBorder="1" applyAlignment="1">
      <alignment horizontal="center" vertical="center"/>
    </xf>
    <xf numFmtId="0" fontId="0" fillId="5" borderId="1" xfId="0" applyFill="1" applyBorder="1" applyAlignment="1" applyProtection="1">
      <alignment horizontal="left" vertical="top" wrapText="1"/>
      <protection hidden="1"/>
    </xf>
    <xf numFmtId="0" fontId="25" fillId="2" borderId="0" xfId="0" applyFont="1" applyFill="1" applyBorder="1" applyAlignment="1">
      <alignment horizontal="right" vertical="top"/>
    </xf>
    <xf numFmtId="0" fontId="25" fillId="2" borderId="0" xfId="0" applyFont="1" applyFill="1" applyBorder="1" applyAlignment="1">
      <alignment horizontal="right"/>
    </xf>
    <xf numFmtId="0" fontId="0" fillId="0" borderId="1" xfId="0" applyBorder="1" applyAlignment="1" applyProtection="1">
      <alignment horizontal="left" vertical="center" indent="1"/>
      <protection locked="0"/>
    </xf>
    <xf numFmtId="0" fontId="0" fillId="0" borderId="1" xfId="0" applyFont="1" applyFill="1" applyBorder="1" applyAlignment="1" applyProtection="1">
      <alignment horizontal="left" vertical="center" indent="1"/>
      <protection locked="0"/>
    </xf>
    <xf numFmtId="0" fontId="0" fillId="0" borderId="1" xfId="0" applyFill="1" applyBorder="1" applyAlignment="1" applyProtection="1">
      <alignment horizontal="left" vertical="center" indent="1"/>
      <protection locked="0"/>
    </xf>
    <xf numFmtId="0" fontId="4" fillId="6"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6" fillId="2" borderId="0" xfId="0" applyFont="1" applyFill="1" applyBorder="1" applyAlignment="1">
      <alignment horizontal="left" vertical="top" wrapText="1"/>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24" fillId="2" borderId="25" xfId="21" applyFill="1" applyBorder="1" applyAlignment="1">
      <alignment horizontal="center" vertical="center"/>
    </xf>
    <xf numFmtId="0" fontId="24" fillId="2" borderId="23" xfId="21" applyFill="1" applyBorder="1" applyAlignment="1">
      <alignment horizontal="center" vertical="center"/>
    </xf>
    <xf numFmtId="0" fontId="24" fillId="2" borderId="24" xfId="2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Komma"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2085975</xdr:colOff>
      <xdr:row>1</xdr:row>
      <xdr:rowOff>47625</xdr:rowOff>
    </xdr:from>
    <xdr:to>
      <xdr:col>1</xdr:col>
      <xdr:colOff>2314575</xdr:colOff>
      <xdr:row>1</xdr:row>
      <xdr:rowOff>257175</xdr:rowOff>
    </xdr:to>
    <xdr:pic>
      <xdr:nvPicPr>
        <xdr:cNvPr id="8" name="Grafik 7"/>
        <xdr:cNvPicPr preferRelativeResize="1">
          <a:picLocks noChangeAspect="1"/>
        </xdr:cNvPicPr>
      </xdr:nvPicPr>
      <xdr:blipFill>
        <a:blip r:embed="rId1"/>
        <a:stretch>
          <a:fillRect/>
        </a:stretch>
      </xdr:blipFill>
      <xdr:spPr>
        <a:xfrm>
          <a:off x="2466975" y="285750"/>
          <a:ext cx="228600" cy="209550"/>
        </a:xfrm>
        <a:prstGeom prst="rect">
          <a:avLst/>
        </a:prstGeom>
        <a:ln>
          <a:noFill/>
        </a:ln>
      </xdr:spPr>
    </xdr:pic>
    <xdr:clientData/>
  </xdr:twoCellAnchor>
  <xdr:twoCellAnchor>
    <xdr:from>
      <xdr:col>1</xdr:col>
      <xdr:colOff>133350</xdr:colOff>
      <xdr:row>32</xdr:row>
      <xdr:rowOff>38100</xdr:rowOff>
    </xdr:from>
    <xdr:to>
      <xdr:col>1</xdr:col>
      <xdr:colOff>1314450</xdr:colOff>
      <xdr:row>32</xdr:row>
      <xdr:rowOff>38100</xdr:rowOff>
    </xdr:to>
    <xdr:cxnSp macro="">
      <xdr:nvCxnSpPr>
        <xdr:cNvPr id="3" name="Gerader Verbinder 2"/>
        <xdr:cNvCxnSpPr/>
      </xdr:nvCxnSpPr>
      <xdr:spPr>
        <a:xfrm>
          <a:off x="514350" y="7153275"/>
          <a:ext cx="1181100" cy="0"/>
        </a:xfrm>
        <a:prstGeom prst="line">
          <a:avLst/>
        </a:prstGeom>
        <a:ln w="44450" cmpd="dbl">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238125</xdr:colOff>
      <xdr:row>32</xdr:row>
      <xdr:rowOff>38100</xdr:rowOff>
    </xdr:from>
    <xdr:to>
      <xdr:col>1</xdr:col>
      <xdr:colOff>1276350</xdr:colOff>
      <xdr:row>34</xdr:row>
      <xdr:rowOff>19050</xdr:rowOff>
    </xdr:to>
    <xdr:cxnSp macro="">
      <xdr:nvCxnSpPr>
        <xdr:cNvPr id="7" name="Gerader Verbinder 6"/>
        <xdr:cNvCxnSpPr/>
      </xdr:nvCxnSpPr>
      <xdr:spPr>
        <a:xfrm flipV="1">
          <a:off x="619125" y="7153275"/>
          <a:ext cx="1038225" cy="371475"/>
        </a:xfrm>
        <a:prstGeom prst="line">
          <a:avLst/>
        </a:prstGeom>
        <a:ln w="44450" cmpd="db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1647825</xdr:colOff>
      <xdr:row>29</xdr:row>
      <xdr:rowOff>133350</xdr:rowOff>
    </xdr:from>
    <xdr:to>
      <xdr:col>1</xdr:col>
      <xdr:colOff>1647825</xdr:colOff>
      <xdr:row>32</xdr:row>
      <xdr:rowOff>28575</xdr:rowOff>
    </xdr:to>
    <xdr:cxnSp macro="">
      <xdr:nvCxnSpPr>
        <xdr:cNvPr id="10" name="Gerader Verbinder 9"/>
        <xdr:cNvCxnSpPr/>
      </xdr:nvCxnSpPr>
      <xdr:spPr>
        <a:xfrm flipH="1" flipV="1">
          <a:off x="2028825" y="6638925"/>
          <a:ext cx="0" cy="504825"/>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1647825</xdr:colOff>
      <xdr:row>29</xdr:row>
      <xdr:rowOff>133350</xdr:rowOff>
    </xdr:from>
    <xdr:to>
      <xdr:col>1</xdr:col>
      <xdr:colOff>1819275</xdr:colOff>
      <xdr:row>29</xdr:row>
      <xdr:rowOff>133350</xdr:rowOff>
    </xdr:to>
    <xdr:cxnSp macro="">
      <xdr:nvCxnSpPr>
        <xdr:cNvPr id="18" name="Gerader Verbinder 17"/>
        <xdr:cNvCxnSpPr/>
      </xdr:nvCxnSpPr>
      <xdr:spPr>
        <a:xfrm flipV="1">
          <a:off x="2028825" y="6638925"/>
          <a:ext cx="171450" cy="0"/>
        </a:xfrm>
        <a:prstGeom prst="line">
          <a:avLst/>
        </a:prstGeom>
        <a:ln w="127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29</xdr:row>
      <xdr:rowOff>76200</xdr:rowOff>
    </xdr:from>
    <xdr:to>
      <xdr:col>1</xdr:col>
      <xdr:colOff>1323975</xdr:colOff>
      <xdr:row>32</xdr:row>
      <xdr:rowOff>38100</xdr:rowOff>
    </xdr:to>
    <xdr:cxnSp macro="">
      <xdr:nvCxnSpPr>
        <xdr:cNvPr id="32" name="Gerader Verbinder 31"/>
        <xdr:cNvCxnSpPr/>
      </xdr:nvCxnSpPr>
      <xdr:spPr>
        <a:xfrm>
          <a:off x="800100" y="6581775"/>
          <a:ext cx="904875" cy="571500"/>
        </a:xfrm>
        <a:prstGeom prst="line">
          <a:avLst/>
        </a:prstGeom>
        <a:ln w="44450" cmpd="db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1304925</xdr:colOff>
      <xdr:row>32</xdr:row>
      <xdr:rowOff>47625</xdr:rowOff>
    </xdr:from>
    <xdr:to>
      <xdr:col>1</xdr:col>
      <xdr:colOff>1304925</xdr:colOff>
      <xdr:row>35</xdr:row>
      <xdr:rowOff>19050</xdr:rowOff>
    </xdr:to>
    <xdr:cxnSp macro="">
      <xdr:nvCxnSpPr>
        <xdr:cNvPr id="35" name="Gerader Verbinder 34"/>
        <xdr:cNvCxnSpPr/>
      </xdr:nvCxnSpPr>
      <xdr:spPr>
        <a:xfrm>
          <a:off x="1685925" y="7162800"/>
          <a:ext cx="0" cy="552450"/>
        </a:xfrm>
        <a:prstGeom prst="line">
          <a:avLst/>
        </a:prstGeom>
        <a:ln w="44450" cmpd="dbl">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685800</xdr:colOff>
      <xdr:row>35</xdr:row>
      <xdr:rowOff>28575</xdr:rowOff>
    </xdr:from>
    <xdr:to>
      <xdr:col>1</xdr:col>
      <xdr:colOff>2438400</xdr:colOff>
      <xdr:row>35</xdr:row>
      <xdr:rowOff>28575</xdr:rowOff>
    </xdr:to>
    <xdr:cxnSp macro="">
      <xdr:nvCxnSpPr>
        <xdr:cNvPr id="39" name="Gerader Verbinder 38"/>
        <xdr:cNvCxnSpPr/>
      </xdr:nvCxnSpPr>
      <xdr:spPr>
        <a:xfrm flipV="1">
          <a:off x="1066800" y="7724775"/>
          <a:ext cx="17526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1819275</xdr:colOff>
      <xdr:row>32</xdr:row>
      <xdr:rowOff>161925</xdr:rowOff>
    </xdr:from>
    <xdr:ext cx="342900" cy="266700"/>
    <xdr:sp macro="" textlink="">
      <xdr:nvSpPr>
        <xdr:cNvPr id="42" name="Textfeld 41"/>
        <xdr:cNvSpPr txBox="1"/>
      </xdr:nvSpPr>
      <xdr:spPr>
        <a:xfrm>
          <a:off x="2200275" y="7277100"/>
          <a:ext cx="3429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100"/>
            <a:t>H2</a:t>
          </a:r>
          <a:endParaRPr lang="de-DE" sz="600"/>
        </a:p>
      </xdr:txBody>
    </xdr:sp>
    <xdr:clientData/>
  </xdr:oneCellAnchor>
  <xdr:twoCellAnchor>
    <xdr:from>
      <xdr:col>1</xdr:col>
      <xdr:colOff>1962150</xdr:colOff>
      <xdr:row>34</xdr:row>
      <xdr:rowOff>85725</xdr:rowOff>
    </xdr:from>
    <xdr:to>
      <xdr:col>1</xdr:col>
      <xdr:colOff>1962150</xdr:colOff>
      <xdr:row>35</xdr:row>
      <xdr:rowOff>19050</xdr:rowOff>
    </xdr:to>
    <xdr:cxnSp macro="">
      <xdr:nvCxnSpPr>
        <xdr:cNvPr id="44" name="Gerade Verbindung mit Pfeil 43"/>
        <xdr:cNvCxnSpPr/>
      </xdr:nvCxnSpPr>
      <xdr:spPr>
        <a:xfrm>
          <a:off x="2343150" y="7591425"/>
          <a:ext cx="0" cy="1238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1962150</xdr:colOff>
      <xdr:row>32</xdr:row>
      <xdr:rowOff>28575</xdr:rowOff>
    </xdr:from>
    <xdr:to>
      <xdr:col>1</xdr:col>
      <xdr:colOff>1962150</xdr:colOff>
      <xdr:row>32</xdr:row>
      <xdr:rowOff>161925</xdr:rowOff>
    </xdr:to>
    <xdr:cxnSp macro="">
      <xdr:nvCxnSpPr>
        <xdr:cNvPr id="46" name="Gerade Verbindung mit Pfeil 45"/>
        <xdr:cNvCxnSpPr/>
      </xdr:nvCxnSpPr>
      <xdr:spPr>
        <a:xfrm flipV="1">
          <a:off x="2343150" y="7143750"/>
          <a:ext cx="0" cy="13335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1304925</xdr:colOff>
      <xdr:row>28</xdr:row>
      <xdr:rowOff>123825</xdr:rowOff>
    </xdr:from>
    <xdr:to>
      <xdr:col>1</xdr:col>
      <xdr:colOff>1304925</xdr:colOff>
      <xdr:row>32</xdr:row>
      <xdr:rowOff>28575</xdr:rowOff>
    </xdr:to>
    <xdr:cxnSp macro="">
      <xdr:nvCxnSpPr>
        <xdr:cNvPr id="59" name="Gerader Verbinder 58"/>
        <xdr:cNvCxnSpPr/>
      </xdr:nvCxnSpPr>
      <xdr:spPr>
        <a:xfrm flipH="1">
          <a:off x="1685925" y="6438900"/>
          <a:ext cx="0" cy="704850"/>
        </a:xfrm>
        <a:prstGeom prst="line">
          <a:avLst/>
        </a:prstGeom>
        <a:ln w="44450" cmpd="dbl">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1323975</xdr:colOff>
      <xdr:row>32</xdr:row>
      <xdr:rowOff>28575</xdr:rowOff>
    </xdr:from>
    <xdr:to>
      <xdr:col>1</xdr:col>
      <xdr:colOff>1657350</xdr:colOff>
      <xdr:row>32</xdr:row>
      <xdr:rowOff>28575</xdr:rowOff>
    </xdr:to>
    <xdr:cxnSp macro="">
      <xdr:nvCxnSpPr>
        <xdr:cNvPr id="62" name="Gerader Verbinder 61"/>
        <xdr:cNvCxnSpPr/>
      </xdr:nvCxnSpPr>
      <xdr:spPr>
        <a:xfrm flipV="1">
          <a:off x="1704975" y="7143750"/>
          <a:ext cx="33337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1857375</xdr:colOff>
      <xdr:row>29</xdr:row>
      <xdr:rowOff>133350</xdr:rowOff>
    </xdr:from>
    <xdr:to>
      <xdr:col>1</xdr:col>
      <xdr:colOff>2438400</xdr:colOff>
      <xdr:row>29</xdr:row>
      <xdr:rowOff>133350</xdr:rowOff>
    </xdr:to>
    <xdr:cxnSp macro="">
      <xdr:nvCxnSpPr>
        <xdr:cNvPr id="70" name="Gerader Verbinder 69"/>
        <xdr:cNvCxnSpPr/>
      </xdr:nvCxnSpPr>
      <xdr:spPr>
        <a:xfrm flipV="1">
          <a:off x="2238375" y="6638925"/>
          <a:ext cx="5810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1971675</xdr:colOff>
      <xdr:row>29</xdr:row>
      <xdr:rowOff>142875</xdr:rowOff>
    </xdr:from>
    <xdr:to>
      <xdr:col>1</xdr:col>
      <xdr:colOff>1971675</xdr:colOff>
      <xdr:row>30</xdr:row>
      <xdr:rowOff>85725</xdr:rowOff>
    </xdr:to>
    <xdr:cxnSp macro="">
      <xdr:nvCxnSpPr>
        <xdr:cNvPr id="71" name="Gerade Verbindung mit Pfeil 70"/>
        <xdr:cNvCxnSpPr/>
      </xdr:nvCxnSpPr>
      <xdr:spPr>
        <a:xfrm flipV="1">
          <a:off x="2352675" y="6648450"/>
          <a:ext cx="0" cy="1619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1962150</xdr:colOff>
      <xdr:row>31</xdr:row>
      <xdr:rowOff>104775</xdr:rowOff>
    </xdr:from>
    <xdr:to>
      <xdr:col>1</xdr:col>
      <xdr:colOff>1962150</xdr:colOff>
      <xdr:row>32</xdr:row>
      <xdr:rowOff>38100</xdr:rowOff>
    </xdr:to>
    <xdr:cxnSp macro="">
      <xdr:nvCxnSpPr>
        <xdr:cNvPr id="72" name="Gerade Verbindung mit Pfeil 71"/>
        <xdr:cNvCxnSpPr/>
      </xdr:nvCxnSpPr>
      <xdr:spPr>
        <a:xfrm>
          <a:off x="2343150" y="7029450"/>
          <a:ext cx="0" cy="1238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1857375</xdr:colOff>
      <xdr:row>32</xdr:row>
      <xdr:rowOff>28575</xdr:rowOff>
    </xdr:from>
    <xdr:to>
      <xdr:col>1</xdr:col>
      <xdr:colOff>2133600</xdr:colOff>
      <xdr:row>32</xdr:row>
      <xdr:rowOff>28575</xdr:rowOff>
    </xdr:to>
    <xdr:cxnSp macro="">
      <xdr:nvCxnSpPr>
        <xdr:cNvPr id="73" name="Gerader Verbinder 72"/>
        <xdr:cNvCxnSpPr/>
      </xdr:nvCxnSpPr>
      <xdr:spPr>
        <a:xfrm>
          <a:off x="2238375" y="7143750"/>
          <a:ext cx="2762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1838325</xdr:colOff>
      <xdr:row>30</xdr:row>
      <xdr:rowOff>47625</xdr:rowOff>
    </xdr:from>
    <xdr:ext cx="342900" cy="266700"/>
    <xdr:sp macro="" textlink="">
      <xdr:nvSpPr>
        <xdr:cNvPr id="53" name="Textfeld 52"/>
        <xdr:cNvSpPr txBox="1"/>
      </xdr:nvSpPr>
      <xdr:spPr>
        <a:xfrm>
          <a:off x="2219325" y="6772275"/>
          <a:ext cx="3429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1100"/>
            <a:t>H1</a:t>
          </a:r>
          <a:endParaRPr lang="de-DE" sz="300"/>
        </a:p>
      </xdr:txBody>
    </xdr:sp>
    <xdr:clientData/>
  </xdr:oneCellAnchor>
  <xdr:twoCellAnchor>
    <xdr:from>
      <xdr:col>1</xdr:col>
      <xdr:colOff>1819275</xdr:colOff>
      <xdr:row>26</xdr:row>
      <xdr:rowOff>180975</xdr:rowOff>
    </xdr:from>
    <xdr:to>
      <xdr:col>1</xdr:col>
      <xdr:colOff>1819275</xdr:colOff>
      <xdr:row>29</xdr:row>
      <xdr:rowOff>142875</xdr:rowOff>
    </xdr:to>
    <xdr:cxnSp macro="">
      <xdr:nvCxnSpPr>
        <xdr:cNvPr id="55" name="Gerader Verbinder 54"/>
        <xdr:cNvCxnSpPr/>
      </xdr:nvCxnSpPr>
      <xdr:spPr>
        <a:xfrm flipH="1" flipV="1">
          <a:off x="2200275" y="6115050"/>
          <a:ext cx="0" cy="533400"/>
        </a:xfrm>
        <a:prstGeom prst="line">
          <a:avLst/>
        </a:prstGeom>
        <a:ln w="127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1647825</xdr:colOff>
      <xdr:row>26</xdr:row>
      <xdr:rowOff>180975</xdr:rowOff>
    </xdr:from>
    <xdr:to>
      <xdr:col>1</xdr:col>
      <xdr:colOff>1647825</xdr:colOff>
      <xdr:row>29</xdr:row>
      <xdr:rowOff>133350</xdr:rowOff>
    </xdr:to>
    <xdr:cxnSp macro="">
      <xdr:nvCxnSpPr>
        <xdr:cNvPr id="60" name="Gerader Verbinder 59"/>
        <xdr:cNvCxnSpPr/>
      </xdr:nvCxnSpPr>
      <xdr:spPr>
        <a:xfrm flipH="1" flipV="1">
          <a:off x="2028825" y="6115050"/>
          <a:ext cx="0" cy="523875"/>
        </a:xfrm>
        <a:prstGeom prst="line">
          <a:avLst/>
        </a:prstGeom>
        <a:ln w="12700">
          <a:solidFill>
            <a:schemeClr val="bg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1600200</xdr:colOff>
      <xdr:row>28</xdr:row>
      <xdr:rowOff>95250</xdr:rowOff>
    </xdr:from>
    <xdr:to>
      <xdr:col>1</xdr:col>
      <xdr:colOff>1704975</xdr:colOff>
      <xdr:row>29</xdr:row>
      <xdr:rowOff>66675</xdr:rowOff>
    </xdr:to>
    <xdr:grpSp>
      <xdr:nvGrpSpPr>
        <xdr:cNvPr id="12" name="Gruppieren 11"/>
        <xdr:cNvGrpSpPr/>
      </xdr:nvGrpSpPr>
      <xdr:grpSpPr>
        <a:xfrm>
          <a:off x="1981200" y="6410325"/>
          <a:ext cx="104775" cy="161925"/>
          <a:chOff x="1818673" y="5582323"/>
          <a:chExt cx="102220" cy="150470"/>
        </a:xfrm>
        <a:solidFill>
          <a:srgbClr val="D9D9D9"/>
        </a:solidFill>
      </xdr:grpSpPr>
      <xdr:sp macro="" textlink="">
        <xdr:nvSpPr>
          <xdr:cNvPr id="23" name="Rechteck 22"/>
          <xdr:cNvSpPr/>
        </xdr:nvSpPr>
        <xdr:spPr>
          <a:xfrm>
            <a:off x="1818673" y="5582323"/>
            <a:ext cx="102220" cy="150470"/>
          </a:xfrm>
          <a:prstGeom prst="rect">
            <a:avLst/>
          </a:prstGeom>
          <a:no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sp macro="" textlink="">
        <xdr:nvSpPr>
          <xdr:cNvPr id="24" name="Gleichschenkliges Dreieck 23"/>
          <xdr:cNvSpPr/>
        </xdr:nvSpPr>
        <xdr:spPr>
          <a:xfrm>
            <a:off x="1827975" y="5626561"/>
            <a:ext cx="83642" cy="66395"/>
          </a:xfrm>
          <a:prstGeom prst="triangle">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grpSp>
    <xdr:clientData/>
  </xdr:twoCellAnchor>
  <xdr:twoCellAnchor>
    <xdr:from>
      <xdr:col>1</xdr:col>
      <xdr:colOff>1552575</xdr:colOff>
      <xdr:row>25</xdr:row>
      <xdr:rowOff>152400</xdr:rowOff>
    </xdr:from>
    <xdr:to>
      <xdr:col>1</xdr:col>
      <xdr:colOff>1933575</xdr:colOff>
      <xdr:row>27</xdr:row>
      <xdr:rowOff>57150</xdr:rowOff>
    </xdr:to>
    <xdr:grpSp>
      <xdr:nvGrpSpPr>
        <xdr:cNvPr id="22" name="Gruppieren 21"/>
        <xdr:cNvGrpSpPr/>
      </xdr:nvGrpSpPr>
      <xdr:grpSpPr>
        <a:xfrm>
          <a:off x="1933575" y="5895975"/>
          <a:ext cx="381000" cy="285750"/>
          <a:chOff x="2390135" y="4998847"/>
          <a:chExt cx="380137" cy="268345"/>
        </a:xfrm>
      </xdr:grpSpPr>
      <xdr:sp macro="" textlink="">
        <xdr:nvSpPr>
          <xdr:cNvPr id="16" name="Abgerundetes Rechteck 15"/>
          <xdr:cNvSpPr/>
        </xdr:nvSpPr>
        <xdr:spPr>
          <a:xfrm>
            <a:off x="2390135" y="4998847"/>
            <a:ext cx="380137" cy="268345"/>
          </a:xfrm>
          <a:prstGeom prst="roundRect">
            <a:avLst>
              <a:gd name="adj" fmla="val 8075"/>
            </a:avLst>
          </a:prstGeom>
          <a:solidFill>
            <a:srgbClr val="D0CECE"/>
          </a:solidFill>
          <a:ln>
            <a:solidFill>
              <a:schemeClr val="bg1">
                <a:lumMod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sp macro="" textlink="">
        <xdr:nvSpPr>
          <xdr:cNvPr id="21" name="Ellipse 20"/>
          <xdr:cNvSpPr/>
        </xdr:nvSpPr>
        <xdr:spPr>
          <a:xfrm>
            <a:off x="2431000" y="5098336"/>
            <a:ext cx="45711" cy="456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sp macro="" textlink="">
        <xdr:nvSpPr>
          <xdr:cNvPr id="64" name="Ellipse 63"/>
          <xdr:cNvSpPr/>
        </xdr:nvSpPr>
        <xdr:spPr>
          <a:xfrm>
            <a:off x="2432330" y="5026822"/>
            <a:ext cx="45711" cy="45686"/>
          </a:xfrm>
          <a:prstGeom prst="ellipse">
            <a:avLst/>
          </a:prstGeom>
          <a:solidFill>
            <a:srgbClr val="70AD47"/>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grpSp>
    <xdr:clientData/>
  </xdr:twoCellAnchor>
  <xdr:twoCellAnchor editAs="oneCell">
    <xdr:from>
      <xdr:col>7</xdr:col>
      <xdr:colOff>1438275</xdr:colOff>
      <xdr:row>0</xdr:row>
      <xdr:rowOff>76200</xdr:rowOff>
    </xdr:from>
    <xdr:to>
      <xdr:col>7</xdr:col>
      <xdr:colOff>1905000</xdr:colOff>
      <xdr:row>2</xdr:row>
      <xdr:rowOff>371475</xdr:rowOff>
    </xdr:to>
    <xdr:pic>
      <xdr:nvPicPr>
        <xdr:cNvPr id="4" name="Grafik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5562600" y="76200"/>
          <a:ext cx="466725" cy="8096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9"/>
  <sheetViews>
    <sheetView tabSelected="1" zoomScale="95" zoomScaleNormal="95" workbookViewId="0" topLeftCell="A1">
      <selection activeCell="AA13" sqref="AA13"/>
    </sheetView>
  </sheetViews>
  <sheetFormatPr defaultColWidth="11.421875" defaultRowHeight="15"/>
  <cols>
    <col min="1" max="1" width="5.7109375" style="0" customWidth="1"/>
    <col min="2" max="2" width="36.57421875" style="0" customWidth="1"/>
    <col min="3" max="3" width="5.8515625" style="0" customWidth="1"/>
    <col min="4" max="4" width="1.57421875" style="0" customWidth="1"/>
    <col min="5" max="5" width="3.8515625" style="0" customWidth="1"/>
    <col min="6" max="6" width="3.57421875" style="0" customWidth="1"/>
    <col min="7" max="7" width="4.7109375" style="0" customWidth="1"/>
    <col min="8" max="8" width="30.57421875" style="0" customWidth="1"/>
    <col min="9" max="10" width="1.57421875" style="0" customWidth="1"/>
    <col min="11" max="11" width="6.140625" style="0" customWidth="1"/>
    <col min="12" max="12" width="8.140625" style="17" hidden="1" customWidth="1"/>
    <col min="13" max="13" width="6.00390625" style="10" hidden="1" customWidth="1"/>
    <col min="14" max="14" width="7.57421875" style="10" hidden="1" customWidth="1"/>
    <col min="15" max="15" width="35.00390625" style="11" hidden="1" customWidth="1"/>
    <col min="16" max="16" width="44.140625" style="12" hidden="1" customWidth="1"/>
    <col min="17" max="17" width="35.00390625" style="12" hidden="1" customWidth="1"/>
    <col min="18" max="18" width="16.8515625" style="12" hidden="1" customWidth="1"/>
    <col min="19" max="20" width="11.421875" style="12" hidden="1" customWidth="1"/>
    <col min="21" max="21" width="11.421875" style="1" customWidth="1"/>
    <col min="22" max="22" width="11.421875" style="0" customWidth="1"/>
    <col min="23" max="25" width="10.7109375" style="0" customWidth="1"/>
    <col min="26" max="26" width="12.8515625" style="0" customWidth="1"/>
    <col min="27" max="27" width="11.7109375" style="0" customWidth="1"/>
  </cols>
  <sheetData>
    <row r="1" spans="1:12" ht="18.75" customHeight="1">
      <c r="A1" s="47"/>
      <c r="B1" s="48"/>
      <c r="C1" s="48"/>
      <c r="D1" s="48"/>
      <c r="E1" s="48"/>
      <c r="F1" s="48"/>
      <c r="G1" s="48"/>
      <c r="H1" s="48"/>
      <c r="I1" s="48"/>
      <c r="J1" s="48"/>
      <c r="K1" s="49"/>
      <c r="L1" s="23"/>
    </row>
    <row r="2" spans="1:12" ht="21.75" customHeight="1">
      <c r="A2" s="50"/>
      <c r="B2" s="51"/>
      <c r="C2" s="6" t="s">
        <v>6</v>
      </c>
      <c r="D2" s="52"/>
      <c r="E2" s="52"/>
      <c r="F2" s="52"/>
      <c r="G2" s="52"/>
      <c r="H2" s="52"/>
      <c r="I2" s="52"/>
      <c r="J2" s="52"/>
      <c r="K2" s="53"/>
      <c r="L2" s="23"/>
    </row>
    <row r="3" spans="1:33" ht="38.25" customHeight="1">
      <c r="A3" s="50"/>
      <c r="B3" s="54" t="str">
        <f>O62</f>
        <v>Berechnung des Mindest-Alarmdruckes:</v>
      </c>
      <c r="C3" s="52"/>
      <c r="D3" s="52"/>
      <c r="E3" s="52"/>
      <c r="F3" s="52"/>
      <c r="G3" s="52"/>
      <c r="H3" s="52"/>
      <c r="I3" s="52"/>
      <c r="J3" s="52"/>
      <c r="K3" s="53"/>
      <c r="L3" s="23"/>
      <c r="AG3" s="45"/>
    </row>
    <row r="4" spans="1:33" ht="17.45" customHeight="1">
      <c r="A4" s="50"/>
      <c r="B4" s="51"/>
      <c r="C4" s="52"/>
      <c r="D4" s="52"/>
      <c r="E4" s="52"/>
      <c r="F4" s="52"/>
      <c r="G4" s="52"/>
      <c r="H4" s="129" t="str">
        <f>O120</f>
        <v>Einheitenrechner</v>
      </c>
      <c r="I4" s="52"/>
      <c r="J4" s="52"/>
      <c r="K4" s="53"/>
      <c r="L4" s="23"/>
      <c r="AG4" s="45"/>
    </row>
    <row r="5" spans="1:33" ht="21" customHeight="1">
      <c r="A5" s="50"/>
      <c r="B5" s="26" t="str">
        <f>O63</f>
        <v>Behälter:</v>
      </c>
      <c r="C5" s="25"/>
      <c r="D5" s="25"/>
      <c r="E5" s="25"/>
      <c r="F5" s="25"/>
      <c r="G5" s="25"/>
      <c r="H5" s="25"/>
      <c r="I5" s="25"/>
      <c r="J5" s="25"/>
      <c r="K5" s="53"/>
      <c r="L5" s="23" t="s">
        <v>62</v>
      </c>
      <c r="AG5" s="45"/>
    </row>
    <row r="6" spans="1:33" ht="17.1" customHeight="1">
      <c r="A6" s="50"/>
      <c r="B6" s="27" t="str">
        <f>O64</f>
        <v>Behältertyp:</v>
      </c>
      <c r="C6" s="133"/>
      <c r="D6" s="133"/>
      <c r="E6" s="133"/>
      <c r="F6" s="133"/>
      <c r="G6" s="133"/>
      <c r="H6" s="133"/>
      <c r="I6" s="28" t="str">
        <f>IF(L6=0,"?","")</f>
        <v>?</v>
      </c>
      <c r="J6" s="28"/>
      <c r="K6" s="53"/>
      <c r="L6" s="23">
        <f>L70</f>
        <v>0</v>
      </c>
      <c r="AG6" s="45"/>
    </row>
    <row r="7" spans="1:33" ht="17.1" customHeight="1">
      <c r="A7" s="50"/>
      <c r="B7" s="27" t="str">
        <f>O65</f>
        <v>Bauhöhe in cm:</v>
      </c>
      <c r="C7" s="5"/>
      <c r="D7" s="28" t="str">
        <f>IF(L7=0,"?","")</f>
        <v>?</v>
      </c>
      <c r="E7" s="29" t="str">
        <f>N84</f>
        <v/>
      </c>
      <c r="F7" s="30"/>
      <c r="G7" s="30"/>
      <c r="H7" s="30"/>
      <c r="I7" s="25"/>
      <c r="J7" s="25"/>
      <c r="K7" s="53"/>
      <c r="L7" s="23">
        <f>IF(C7&lt;&gt;"",1,0)</f>
        <v>0</v>
      </c>
      <c r="AG7" s="45"/>
    </row>
    <row r="8" spans="1:33" ht="17.1" customHeight="1">
      <c r="A8" s="50"/>
      <c r="B8" s="31" t="str">
        <f>O69</f>
        <v>Überlagerungsdruck in mbar:</v>
      </c>
      <c r="C8" s="5"/>
      <c r="D8" s="28" t="str">
        <f>IF(L8=0,"?","")</f>
        <v>?</v>
      </c>
      <c r="E8" s="30" t="str">
        <f>O70</f>
        <v xml:space="preserve"> 0 mbar bei atmosphärischem Betrieb</v>
      </c>
      <c r="F8" s="30"/>
      <c r="G8" s="30"/>
      <c r="H8" s="30"/>
      <c r="I8" s="25"/>
      <c r="J8" s="25"/>
      <c r="K8" s="53"/>
      <c r="L8" s="23">
        <f>IF(C8&lt;&gt;"",1,0)</f>
        <v>0</v>
      </c>
      <c r="AG8" s="45"/>
    </row>
    <row r="9" spans="1:33" ht="17.1" customHeight="1">
      <c r="A9" s="50"/>
      <c r="B9" s="27" t="str">
        <f>O79</f>
        <v>Lagergutdichte in g/cm3:</v>
      </c>
      <c r="C9" s="5"/>
      <c r="D9" s="28" t="str">
        <f>IF(L9=0,"?","")</f>
        <v>?</v>
      </c>
      <c r="E9" s="30" t="s">
        <v>61</v>
      </c>
      <c r="F9" s="30"/>
      <c r="G9" s="30"/>
      <c r="H9" s="30"/>
      <c r="I9" s="25"/>
      <c r="J9" s="25"/>
      <c r="K9" s="53"/>
      <c r="L9" s="23">
        <f>IF(C9&lt;&gt;"",1,0)</f>
        <v>0</v>
      </c>
      <c r="AG9" s="45"/>
    </row>
    <row r="10" spans="1:33" ht="14.45" customHeight="1">
      <c r="A10" s="50"/>
      <c r="B10" s="25"/>
      <c r="C10" s="25"/>
      <c r="D10" s="25"/>
      <c r="E10" s="25"/>
      <c r="F10" s="25"/>
      <c r="G10" s="25"/>
      <c r="H10" s="25"/>
      <c r="I10" s="25"/>
      <c r="J10" s="25"/>
      <c r="K10" s="53"/>
      <c r="L10" s="23"/>
      <c r="AG10" s="45"/>
    </row>
    <row r="11" spans="1:12" ht="28.15" customHeight="1" thickBot="1">
      <c r="A11" s="50"/>
      <c r="B11" s="32" t="str">
        <f>O80</f>
        <v>Mindest-Alarmdruck für:</v>
      </c>
      <c r="C11" s="25"/>
      <c r="D11" s="25"/>
      <c r="E11" s="25"/>
      <c r="F11" s="25"/>
      <c r="G11" s="25"/>
      <c r="H11" s="25"/>
      <c r="I11" s="25"/>
      <c r="J11" s="25"/>
      <c r="K11" s="53"/>
      <c r="L11" s="23"/>
    </row>
    <row r="12" spans="1:12" ht="17.1" customHeight="1" thickBot="1">
      <c r="A12" s="50"/>
      <c r="B12" s="32" t="str">
        <f>O81</f>
        <v xml:space="preserve">Vakuum: </v>
      </c>
      <c r="C12" s="20" t="str">
        <f>IF(L12=4,IF(N62&lt;570,ROUNDUP(N62,0),"-"),"?")</f>
        <v>?</v>
      </c>
      <c r="D12" s="9"/>
      <c r="E12" s="33" t="s">
        <v>57</v>
      </c>
      <c r="F12" s="33"/>
      <c r="G12" s="137" t="str">
        <f>IF(C12="?",O$115,IF(C12="-",O$116,""))</f>
        <v xml:space="preserve">Bitte "?"- Angaben vervollständigen. </v>
      </c>
      <c r="H12" s="137"/>
      <c r="I12" s="25"/>
      <c r="J12" s="25"/>
      <c r="K12" s="53"/>
      <c r="L12" s="24">
        <f>SUM(L6:L9)</f>
        <v>0</v>
      </c>
    </row>
    <row r="13" spans="1:12" ht="15.75" customHeight="1" thickBot="1">
      <c r="A13" s="50"/>
      <c r="B13" s="34"/>
      <c r="C13" s="35"/>
      <c r="D13" s="35"/>
      <c r="E13" s="33"/>
      <c r="F13" s="33"/>
      <c r="G13" s="137"/>
      <c r="H13" s="137"/>
      <c r="I13" s="25"/>
      <c r="J13" s="25"/>
      <c r="K13" s="53"/>
      <c r="L13" s="23"/>
    </row>
    <row r="14" spans="1:12" ht="17.1" customHeight="1" thickBot="1">
      <c r="A14" s="50"/>
      <c r="B14" s="32" t="str">
        <f>O82</f>
        <v xml:space="preserve">Druck: </v>
      </c>
      <c r="C14" s="20" t="str">
        <f>IF(L12=4,IF(M62=0,"-",ROUNDUP(M62,0)),"?")</f>
        <v>?</v>
      </c>
      <c r="D14" s="9"/>
      <c r="E14" s="33" t="s">
        <v>57</v>
      </c>
      <c r="F14" s="33"/>
      <c r="G14" s="137" t="str">
        <f>IF(C14="?",O$115,IF(C14="-",O$116,""))</f>
        <v xml:space="preserve">Bitte "?"- Angaben vervollständigen. </v>
      </c>
      <c r="H14" s="137"/>
      <c r="I14" s="25"/>
      <c r="J14" s="25"/>
      <c r="K14" s="53"/>
      <c r="L14" s="23"/>
    </row>
    <row r="15" spans="1:12" ht="17.1" customHeight="1">
      <c r="A15" s="50"/>
      <c r="B15" s="32"/>
      <c r="C15" s="9"/>
      <c r="D15" s="9"/>
      <c r="E15" s="33"/>
      <c r="F15" s="33"/>
      <c r="G15" s="137"/>
      <c r="H15" s="137"/>
      <c r="I15" s="25"/>
      <c r="J15" s="25"/>
      <c r="K15" s="53"/>
      <c r="L15" s="23"/>
    </row>
    <row r="16" spans="1:12" ht="14.45" customHeight="1">
      <c r="A16" s="50"/>
      <c r="B16" s="36"/>
      <c r="C16" s="25"/>
      <c r="D16" s="25"/>
      <c r="E16" s="25"/>
      <c r="F16" s="25"/>
      <c r="G16" s="25"/>
      <c r="H16" s="25"/>
      <c r="I16" s="25"/>
      <c r="J16" s="25"/>
      <c r="K16" s="53"/>
      <c r="L16" s="23"/>
    </row>
    <row r="17" spans="1:12" ht="15">
      <c r="A17" s="50"/>
      <c r="B17" s="56"/>
      <c r="C17" s="52"/>
      <c r="D17" s="52"/>
      <c r="E17" s="52"/>
      <c r="F17" s="52"/>
      <c r="G17" s="52"/>
      <c r="H17" s="52"/>
      <c r="I17" s="52"/>
      <c r="J17" s="52"/>
      <c r="K17" s="53"/>
      <c r="L17" s="23"/>
    </row>
    <row r="18" spans="1:12" ht="21">
      <c r="A18" s="50"/>
      <c r="B18" s="26" t="str">
        <f>O89</f>
        <v>Rohre:</v>
      </c>
      <c r="C18" s="25"/>
      <c r="D18" s="25"/>
      <c r="E18" s="25"/>
      <c r="F18" s="25"/>
      <c r="G18" s="25"/>
      <c r="H18" s="25"/>
      <c r="I18" s="25"/>
      <c r="J18" s="25"/>
      <c r="K18" s="53"/>
      <c r="L18" s="23"/>
    </row>
    <row r="19" spans="1:12" ht="17.1" customHeight="1">
      <c r="A19" s="50"/>
      <c r="B19" s="37" t="str">
        <f>O90</f>
        <v>Rohrleitungstyp:</v>
      </c>
      <c r="C19" s="134"/>
      <c r="D19" s="134"/>
      <c r="E19" s="134"/>
      <c r="F19" s="134"/>
      <c r="G19" s="134"/>
      <c r="H19" s="134"/>
      <c r="I19" s="28" t="str">
        <f>IF(L19=0,"?","")</f>
        <v>?</v>
      </c>
      <c r="J19" s="28"/>
      <c r="K19" s="53"/>
      <c r="L19" s="23">
        <f>L90</f>
        <v>0</v>
      </c>
    </row>
    <row r="20" spans="1:12" ht="17.1" customHeight="1">
      <c r="A20" s="50"/>
      <c r="B20" s="37" t="str">
        <f>O100</f>
        <v>Max. Förderdruck im Innenrohr in bar:</v>
      </c>
      <c r="C20" s="4"/>
      <c r="D20" s="28" t="str">
        <f>IF(L20=0,"?",IF(L102=0,"?",""))</f>
        <v>?</v>
      </c>
      <c r="E20" s="25" t="str">
        <f>O102</f>
        <v>&gt;" 0"  bei Druckrohrleitungen, sonst "0".</v>
      </c>
      <c r="F20" s="25"/>
      <c r="G20" s="25"/>
      <c r="H20" s="25"/>
      <c r="I20" s="128"/>
      <c r="J20" s="25"/>
      <c r="K20" s="53"/>
      <c r="L20" s="23">
        <f>IF(C20&lt;&gt;"",1,0)</f>
        <v>0</v>
      </c>
    </row>
    <row r="21" spans="1:12" ht="15.75" customHeight="1">
      <c r="A21" s="50"/>
      <c r="B21" s="37"/>
      <c r="C21" s="25"/>
      <c r="D21" s="25"/>
      <c r="E21" s="25"/>
      <c r="F21" s="25"/>
      <c r="G21" s="25"/>
      <c r="H21" s="25"/>
      <c r="I21" s="25"/>
      <c r="J21" s="25"/>
      <c r="K21" s="53"/>
      <c r="L21" s="23"/>
    </row>
    <row r="22" spans="1:12" ht="15">
      <c r="A22" s="50"/>
      <c r="B22" s="25"/>
      <c r="C22" s="38" t="str">
        <f>O112</f>
        <v xml:space="preserve">Zusatzinformationen für Vakuum: </v>
      </c>
      <c r="D22" s="38"/>
      <c r="E22" s="25"/>
      <c r="F22" s="25"/>
      <c r="G22" s="25"/>
      <c r="H22" s="25"/>
      <c r="I22" s="25"/>
      <c r="J22" s="25"/>
      <c r="K22" s="53"/>
      <c r="L22" s="23"/>
    </row>
    <row r="23" spans="1:12" ht="17.1" customHeight="1">
      <c r="A23" s="50"/>
      <c r="B23" s="37" t="str">
        <f>O79</f>
        <v>Lagergutdichte in g/cm3:</v>
      </c>
      <c r="C23" s="5"/>
      <c r="D23" s="28" t="str">
        <f>IF(L23=0,"?","")</f>
        <v>?</v>
      </c>
      <c r="E23" s="25"/>
      <c r="F23" s="25" t="s">
        <v>20</v>
      </c>
      <c r="G23" s="25"/>
      <c r="H23" s="25"/>
      <c r="I23" s="25"/>
      <c r="J23" s="25"/>
      <c r="K23" s="53"/>
      <c r="L23" s="23">
        <f>IF(C23&lt;&gt;"",1,0)</f>
        <v>0</v>
      </c>
    </row>
    <row r="24" spans="1:12" ht="17.1" customHeight="1">
      <c r="A24" s="50"/>
      <c r="B24" s="37" t="str">
        <f>O108</f>
        <v>Verlegung der Rohrleitung:</v>
      </c>
      <c r="C24" s="135"/>
      <c r="D24" s="135"/>
      <c r="E24" s="135"/>
      <c r="F24" s="135"/>
      <c r="G24" s="135"/>
      <c r="H24" s="28" t="str">
        <f>IF(L24=0,"?","")</f>
        <v>?</v>
      </c>
      <c r="I24" s="25"/>
      <c r="J24" s="25"/>
      <c r="K24" s="53"/>
      <c r="L24" s="23">
        <f>L108</f>
        <v>0</v>
      </c>
    </row>
    <row r="25" spans="1:12" ht="15">
      <c r="A25" s="50"/>
      <c r="B25" s="37"/>
      <c r="C25" s="25"/>
      <c r="D25" s="25"/>
      <c r="E25" s="25"/>
      <c r="F25" s="25"/>
      <c r="G25" s="25"/>
      <c r="H25" s="25"/>
      <c r="I25" s="25"/>
      <c r="J25" s="25"/>
      <c r="K25" s="53"/>
      <c r="L25" s="23"/>
    </row>
    <row r="26" spans="1:12" ht="15">
      <c r="A26" s="50"/>
      <c r="B26" s="37"/>
      <c r="C26" s="25"/>
      <c r="D26" s="25"/>
      <c r="E26" s="25"/>
      <c r="F26" s="25"/>
      <c r="G26" s="25"/>
      <c r="H26" s="25"/>
      <c r="I26" s="25"/>
      <c r="J26" s="25"/>
      <c r="K26" s="53"/>
      <c r="L26" s="23"/>
    </row>
    <row r="27" spans="1:12" ht="15">
      <c r="A27" s="50"/>
      <c r="B27" s="37"/>
      <c r="C27" s="25"/>
      <c r="D27" s="25"/>
      <c r="E27" s="25"/>
      <c r="F27" s="25"/>
      <c r="G27" s="25"/>
      <c r="H27" s="25"/>
      <c r="I27" s="25"/>
      <c r="J27" s="25"/>
      <c r="K27" s="53"/>
      <c r="L27" s="23"/>
    </row>
    <row r="28" spans="1:12" ht="15">
      <c r="A28" s="50"/>
      <c r="B28" s="37"/>
      <c r="C28" s="25"/>
      <c r="D28" s="25"/>
      <c r="E28" s="25"/>
      <c r="F28" s="25"/>
      <c r="G28" s="25"/>
      <c r="H28" s="25"/>
      <c r="I28" s="25"/>
      <c r="J28" s="25"/>
      <c r="K28" s="53"/>
      <c r="L28" s="23"/>
    </row>
    <row r="29" spans="1:12" ht="15">
      <c r="A29" s="50"/>
      <c r="B29" s="37"/>
      <c r="C29" s="25"/>
      <c r="D29" s="25"/>
      <c r="E29" s="25"/>
      <c r="F29" s="25"/>
      <c r="G29" s="25"/>
      <c r="H29" s="25"/>
      <c r="I29" s="25"/>
      <c r="J29" s="25"/>
      <c r="K29" s="53"/>
      <c r="L29" s="23"/>
    </row>
    <row r="30" spans="1:12" ht="17.25" customHeight="1">
      <c r="A30" s="50"/>
      <c r="B30" s="37"/>
      <c r="C30" s="25"/>
      <c r="D30" s="25"/>
      <c r="E30" s="25"/>
      <c r="F30" s="131" t="s">
        <v>136</v>
      </c>
      <c r="G30" s="138" t="str">
        <f>O105</f>
        <v>Höhe zwischen Anschlusspunkt an der Rohrleitung und Knotenpunkt (Verbindungsstelle zwischen Mess- und Saugleitung).</v>
      </c>
      <c r="H30" s="138"/>
      <c r="I30" s="25"/>
      <c r="J30" s="25"/>
      <c r="K30" s="53"/>
      <c r="L30" s="23"/>
    </row>
    <row r="31" spans="1:12" ht="15.75" customHeight="1">
      <c r="A31" s="50"/>
      <c r="B31" s="37"/>
      <c r="C31" s="3"/>
      <c r="D31" s="28" t="str">
        <f>IF(L31=0,"?","")</f>
        <v>?</v>
      </c>
      <c r="E31" s="25" t="s">
        <v>32</v>
      </c>
      <c r="F31" s="132"/>
      <c r="G31" s="138"/>
      <c r="H31" s="138"/>
      <c r="I31" s="25"/>
      <c r="J31" s="25"/>
      <c r="K31" s="53"/>
      <c r="L31" s="23">
        <f>IF(C31="",0,1)</f>
        <v>0</v>
      </c>
    </row>
    <row r="32" spans="1:12" ht="15">
      <c r="A32" s="50"/>
      <c r="B32" s="37"/>
      <c r="C32" s="39"/>
      <c r="D32" s="39"/>
      <c r="E32" s="25"/>
      <c r="F32" s="132"/>
      <c r="G32" s="138"/>
      <c r="H32" s="138"/>
      <c r="I32" s="25"/>
      <c r="J32" s="25"/>
      <c r="K32" s="53"/>
      <c r="L32" s="23"/>
    </row>
    <row r="33" spans="1:12" ht="15">
      <c r="A33" s="50"/>
      <c r="B33" s="37"/>
      <c r="C33" s="39"/>
      <c r="D33" s="39"/>
      <c r="E33" s="25"/>
      <c r="F33" s="131" t="s">
        <v>137</v>
      </c>
      <c r="G33" s="138" t="str">
        <f>O106</f>
        <v>Höhe zwischen tiefstem Punkt der Rohrleitung und dem Anschlusspunkt an der Rohrleitung.</v>
      </c>
      <c r="H33" s="138"/>
      <c r="I33" s="25"/>
      <c r="J33" s="25"/>
      <c r="K33" s="53"/>
      <c r="L33" s="23"/>
    </row>
    <row r="34" spans="1:12" ht="15.75">
      <c r="A34" s="50"/>
      <c r="B34" s="37"/>
      <c r="C34" s="3"/>
      <c r="D34" s="28" t="str">
        <f>IF(L34=0,"?","")</f>
        <v>?</v>
      </c>
      <c r="E34" s="25" t="s">
        <v>32</v>
      </c>
      <c r="F34" s="25"/>
      <c r="G34" s="138"/>
      <c r="H34" s="138"/>
      <c r="I34" s="25"/>
      <c r="J34" s="25"/>
      <c r="K34" s="53"/>
      <c r="L34" s="23">
        <f>IF(C34="",0,1)</f>
        <v>0</v>
      </c>
    </row>
    <row r="35" spans="1:12" ht="15">
      <c r="A35" s="50"/>
      <c r="B35" s="37"/>
      <c r="C35" s="39"/>
      <c r="D35" s="39"/>
      <c r="E35" s="25"/>
      <c r="F35" s="25"/>
      <c r="G35" s="138"/>
      <c r="H35" s="138"/>
      <c r="I35" s="25"/>
      <c r="J35" s="25"/>
      <c r="K35" s="53"/>
      <c r="L35" s="23"/>
    </row>
    <row r="36" spans="1:12" ht="15">
      <c r="A36" s="50"/>
      <c r="B36" s="37"/>
      <c r="C36" s="39"/>
      <c r="D36" s="39"/>
      <c r="E36" s="25"/>
      <c r="F36" s="25"/>
      <c r="G36" s="25"/>
      <c r="H36" s="25"/>
      <c r="I36" s="25"/>
      <c r="J36" s="25"/>
      <c r="K36" s="53"/>
      <c r="L36" s="23"/>
    </row>
    <row r="37" spans="1:12" ht="13.15" customHeight="1">
      <c r="A37" s="50"/>
      <c r="B37" s="40" t="s">
        <v>39</v>
      </c>
      <c r="C37" s="2">
        <f>C34+C31</f>
        <v>0</v>
      </c>
      <c r="D37" s="7"/>
      <c r="E37" s="25" t="s">
        <v>32</v>
      </c>
      <c r="F37" s="25"/>
      <c r="G37" s="25"/>
      <c r="H37" s="25"/>
      <c r="I37" s="25"/>
      <c r="J37" s="25"/>
      <c r="K37" s="53"/>
      <c r="L37" s="23"/>
    </row>
    <row r="38" spans="1:12" ht="13.15" customHeight="1">
      <c r="A38" s="50"/>
      <c r="B38" s="40"/>
      <c r="C38" s="39"/>
      <c r="D38" s="39"/>
      <c r="E38" s="25"/>
      <c r="F38" s="25"/>
      <c r="G38" s="25"/>
      <c r="H38" s="25"/>
      <c r="I38" s="25"/>
      <c r="J38" s="25"/>
      <c r="K38" s="53"/>
      <c r="L38" s="23"/>
    </row>
    <row r="39" spans="1:12" ht="23.25" customHeight="1">
      <c r="A39" s="50"/>
      <c r="B39" s="42" t="str">
        <f>O80</f>
        <v>Mindest-Alarmdruck für:</v>
      </c>
      <c r="C39" s="39"/>
      <c r="D39" s="39"/>
      <c r="E39" s="25"/>
      <c r="F39" s="25"/>
      <c r="G39" s="25"/>
      <c r="H39" s="25"/>
      <c r="I39" s="25"/>
      <c r="J39" s="25"/>
      <c r="K39" s="53"/>
      <c r="L39" s="23"/>
    </row>
    <row r="40" spans="1:12" ht="9.75" customHeight="1" thickBot="1">
      <c r="A40" s="50"/>
      <c r="B40" s="41"/>
      <c r="C40" s="39"/>
      <c r="D40" s="39"/>
      <c r="E40" s="25"/>
      <c r="F40" s="25"/>
      <c r="G40" s="25"/>
      <c r="H40" s="25"/>
      <c r="I40" s="25"/>
      <c r="J40" s="25"/>
      <c r="K40" s="53"/>
      <c r="L40" s="23"/>
    </row>
    <row r="41" spans="1:12" ht="16.15" customHeight="1" thickBot="1">
      <c r="A41" s="50"/>
      <c r="B41" s="42" t="str">
        <f>O81</f>
        <v xml:space="preserve">Vakuum: </v>
      </c>
      <c r="C41" s="21" t="str">
        <f>IF(L41=6,IF(N90&lt;=570,ROUNDUP(N90,0),"-"),"?")</f>
        <v>?</v>
      </c>
      <c r="D41" s="8"/>
      <c r="E41" s="43" t="s">
        <v>57</v>
      </c>
      <c r="F41" s="25"/>
      <c r="G41" s="137" t="str">
        <f>IF(C41="?",O$115,IF(C41="-",O$116,""))</f>
        <v xml:space="preserve">Bitte "?"- Angaben vervollständigen. </v>
      </c>
      <c r="H41" s="137"/>
      <c r="I41" s="25"/>
      <c r="J41" s="25"/>
      <c r="K41" s="53"/>
      <c r="L41" s="23">
        <f>SUM(L19:L34)</f>
        <v>0</v>
      </c>
    </row>
    <row r="42" spans="1:12" ht="15.75" thickBot="1">
      <c r="A42" s="50"/>
      <c r="B42" s="35"/>
      <c r="C42" s="25"/>
      <c r="D42" s="25"/>
      <c r="E42" s="25"/>
      <c r="F42" s="25"/>
      <c r="G42" s="137"/>
      <c r="H42" s="137"/>
      <c r="I42" s="25"/>
      <c r="J42" s="25"/>
      <c r="K42" s="53"/>
      <c r="L42" s="23"/>
    </row>
    <row r="43" spans="1:12" ht="16.5" thickBot="1">
      <c r="A43" s="50"/>
      <c r="B43" s="42" t="str">
        <f>O103</f>
        <v xml:space="preserve">Druck: </v>
      </c>
      <c r="C43" s="20" t="str">
        <f>IF(L43=2,M90,"?")</f>
        <v>?</v>
      </c>
      <c r="D43" s="9"/>
      <c r="E43" s="43" t="s">
        <v>58</v>
      </c>
      <c r="F43" s="25"/>
      <c r="G43" s="137" t="str">
        <f>IF(C43="?",O$115,IF(C43="-",O$116,""))</f>
        <v xml:space="preserve">Bitte "?"- Angaben vervollständigen. </v>
      </c>
      <c r="H43" s="137"/>
      <c r="I43" s="25"/>
      <c r="J43" s="25"/>
      <c r="K43" s="53"/>
      <c r="L43" s="24">
        <f>IF(D20="",L20+L19,0)</f>
        <v>0</v>
      </c>
    </row>
    <row r="44" spans="1:12" ht="15.75">
      <c r="A44" s="50"/>
      <c r="B44" s="42"/>
      <c r="C44" s="9"/>
      <c r="D44" s="9"/>
      <c r="E44" s="43"/>
      <c r="F44" s="25"/>
      <c r="G44" s="137"/>
      <c r="H44" s="137"/>
      <c r="I44" s="25"/>
      <c r="J44" s="25"/>
      <c r="K44" s="53"/>
      <c r="L44" s="24"/>
    </row>
    <row r="45" spans="1:12" ht="15">
      <c r="A45" s="50"/>
      <c r="B45" s="44"/>
      <c r="C45" s="25"/>
      <c r="D45" s="25"/>
      <c r="E45" s="25"/>
      <c r="F45" s="25"/>
      <c r="G45" s="25"/>
      <c r="H45" s="25"/>
      <c r="I45" s="25"/>
      <c r="J45" s="25"/>
      <c r="K45" s="53"/>
      <c r="L45" s="23"/>
    </row>
    <row r="46" spans="1:12" ht="15">
      <c r="A46" s="50"/>
      <c r="B46" s="58"/>
      <c r="C46" s="52"/>
      <c r="D46" s="52"/>
      <c r="E46" s="52"/>
      <c r="F46" s="52"/>
      <c r="G46" s="52"/>
      <c r="H46" s="52"/>
      <c r="I46" s="52"/>
      <c r="J46" s="52"/>
      <c r="K46" s="53"/>
      <c r="L46" s="23"/>
    </row>
    <row r="47" spans="1:12" ht="81" customHeight="1">
      <c r="A47" s="50"/>
      <c r="B47" s="136" t="str">
        <f>O117</f>
        <v>Neben dem Auswahlkriterium „Alarmdruck“ müssen zur endgültigen Bestimmung des geeigneten Leckanzeigers weitere Faktoren wie die hinreichende Druckfestigkeit des Überwachungsraums sowie die chemische und explosionstechnische Eignung des Leckanzeigers bzw. des gesamten einzusetzenden Equipments beachtet werden!</v>
      </c>
      <c r="C47" s="136"/>
      <c r="D47" s="136"/>
      <c r="E47" s="136"/>
      <c r="F47" s="136"/>
      <c r="G47" s="136"/>
      <c r="H47" s="136"/>
      <c r="I47" s="136"/>
      <c r="J47" s="136"/>
      <c r="K47" s="53"/>
      <c r="L47" s="23"/>
    </row>
    <row r="48" spans="1:12" ht="35.25" customHeight="1">
      <c r="A48" s="50"/>
      <c r="B48" s="136" t="str">
        <f>O118</f>
        <v xml:space="preserve">Bitte beachten Sie die einzuhaltenden Vorgaben aus den jeweiligen Dokumentationen zu unseren Leckanzeigern. </v>
      </c>
      <c r="C48" s="136"/>
      <c r="D48" s="136"/>
      <c r="E48" s="136"/>
      <c r="F48" s="136"/>
      <c r="G48" s="136"/>
      <c r="H48" s="136"/>
      <c r="I48" s="136"/>
      <c r="J48" s="52"/>
      <c r="K48" s="53"/>
      <c r="L48" s="23"/>
    </row>
    <row r="49" spans="1:12" ht="18" customHeight="1">
      <c r="A49" s="50"/>
      <c r="B49" s="61" t="str">
        <f>O119</f>
        <v>Unser Verkaufsteam berät Sie gerne:  +49 271 48964-0</v>
      </c>
      <c r="C49" s="62"/>
      <c r="D49" s="62"/>
      <c r="E49" s="62"/>
      <c r="F49" s="62"/>
      <c r="G49" s="62"/>
      <c r="H49" s="62"/>
      <c r="I49" s="52"/>
      <c r="J49" s="52"/>
      <c r="K49" s="53"/>
      <c r="L49" s="23"/>
    </row>
    <row r="50" spans="1:12" ht="15">
      <c r="A50" s="50"/>
      <c r="B50" s="58"/>
      <c r="C50" s="52"/>
      <c r="D50" s="52"/>
      <c r="E50" s="52"/>
      <c r="F50" s="52"/>
      <c r="G50" s="52"/>
      <c r="H50" s="52"/>
      <c r="I50" s="52"/>
      <c r="J50" s="52"/>
      <c r="K50" s="53"/>
      <c r="L50" s="23"/>
    </row>
    <row r="51" spans="1:12" ht="15.75" thickBot="1">
      <c r="A51" s="55"/>
      <c r="B51" s="59"/>
      <c r="C51" s="60"/>
      <c r="D51" s="60"/>
      <c r="E51" s="60"/>
      <c r="F51" s="60"/>
      <c r="G51" s="60"/>
      <c r="H51" s="60"/>
      <c r="I51" s="60"/>
      <c r="J51" s="60"/>
      <c r="K51" s="57"/>
      <c r="L51" s="23"/>
    </row>
    <row r="52" spans="1:11" ht="15">
      <c r="A52" s="45"/>
      <c r="B52" s="46"/>
      <c r="C52" s="45"/>
      <c r="D52" s="45"/>
      <c r="E52" s="45"/>
      <c r="F52" s="45"/>
      <c r="G52" s="45"/>
      <c r="H52" s="45"/>
      <c r="I52" s="45"/>
      <c r="J52" s="45"/>
      <c r="K52" s="45"/>
    </row>
    <row r="57" ht="26.25">
      <c r="L57" s="63" t="s">
        <v>84</v>
      </c>
    </row>
    <row r="58" spans="15:20" ht="15">
      <c r="O58" s="11" t="s">
        <v>12</v>
      </c>
      <c r="P58" s="12" t="s">
        <v>6</v>
      </c>
      <c r="Q58" s="12" t="s">
        <v>7</v>
      </c>
      <c r="R58" s="12" t="s">
        <v>8</v>
      </c>
      <c r="S58" s="12" t="s">
        <v>9</v>
      </c>
      <c r="T58" s="12" t="s">
        <v>10</v>
      </c>
    </row>
    <row r="59" spans="12:17" ht="26.25">
      <c r="L59" s="63"/>
      <c r="O59" s="13" t="str">
        <f>IF($C$2="DE",P59,IF($C$2="EN",Q59,IF($C$2="FR",R59,IF($C$2="ES",S59,IF($C$2="IT",T59)))))</f>
        <v>Sprachauswahl:</v>
      </c>
      <c r="P59" s="12" t="s">
        <v>55</v>
      </c>
      <c r="Q59" s="12" t="s">
        <v>54</v>
      </c>
    </row>
    <row r="60" ht="26.25">
      <c r="L60" s="63" t="s">
        <v>83</v>
      </c>
    </row>
    <row r="61" spans="13:14" ht="15">
      <c r="M61" s="10" t="s">
        <v>18</v>
      </c>
      <c r="N61" s="10" t="s">
        <v>19</v>
      </c>
    </row>
    <row r="62" spans="13:20" ht="15">
      <c r="M62" s="10">
        <f>SUM(M71:M75)</f>
        <v>0</v>
      </c>
      <c r="N62" s="10">
        <f>SUM(N71:N75)</f>
        <v>0</v>
      </c>
      <c r="O62" s="13" t="str">
        <f aca="true" t="shared" si="0" ref="O62:O75">IF($C$2="DE",P62,IF($C$2="EN",Q62,IF($C$2="FR",R62,IF($C$2="ES",S62,IF($C$2="IT",T62)))))</f>
        <v>Berechnung des Mindest-Alarmdruckes:</v>
      </c>
      <c r="P62" s="14" t="s">
        <v>127</v>
      </c>
      <c r="Q62" s="14" t="s">
        <v>124</v>
      </c>
      <c r="R62" s="14"/>
      <c r="S62" s="14"/>
      <c r="T62" s="14"/>
    </row>
    <row r="63" spans="15:20" ht="15">
      <c r="O63" s="13" t="str">
        <f t="shared" si="0"/>
        <v>Behälter:</v>
      </c>
      <c r="P63" s="14" t="s">
        <v>50</v>
      </c>
      <c r="Q63" s="14" t="s">
        <v>56</v>
      </c>
      <c r="R63" s="14" t="s">
        <v>51</v>
      </c>
      <c r="S63" s="14"/>
      <c r="T63" s="14"/>
    </row>
    <row r="64" spans="15:20" ht="15">
      <c r="O64" s="13" t="str">
        <f t="shared" si="0"/>
        <v>Behältertyp:</v>
      </c>
      <c r="P64" s="14" t="s">
        <v>13</v>
      </c>
      <c r="Q64" s="14" t="s">
        <v>63</v>
      </c>
      <c r="R64" s="14" t="s">
        <v>14</v>
      </c>
      <c r="S64" s="14"/>
      <c r="T64" s="14"/>
    </row>
    <row r="65" spans="15:20" ht="15">
      <c r="O65" s="13" t="str">
        <f t="shared" si="0"/>
        <v>Bauhöhe in cm:</v>
      </c>
      <c r="P65" s="14" t="s">
        <v>3</v>
      </c>
      <c r="Q65" s="14" t="s">
        <v>64</v>
      </c>
      <c r="R65" s="14"/>
      <c r="S65" s="14"/>
      <c r="T65" s="14"/>
    </row>
    <row r="66" spans="15:20" ht="15">
      <c r="O66" s="13">
        <f t="shared" si="0"/>
        <v>0</v>
      </c>
      <c r="P66" s="14"/>
      <c r="Q66" s="14"/>
      <c r="R66" s="14"/>
      <c r="S66" s="14"/>
      <c r="T66" s="14"/>
    </row>
    <row r="67" spans="15:20" ht="15">
      <c r="O67" s="13">
        <f t="shared" si="0"/>
        <v>0</v>
      </c>
      <c r="P67" s="14"/>
      <c r="Q67" s="14"/>
      <c r="R67" s="14"/>
      <c r="S67" s="14"/>
      <c r="T67" s="14"/>
    </row>
    <row r="68" spans="15:20" ht="15">
      <c r="O68" s="13">
        <f t="shared" si="0"/>
        <v>0</v>
      </c>
      <c r="P68" s="14"/>
      <c r="Q68" s="14"/>
      <c r="R68" s="14"/>
      <c r="S68" s="14"/>
      <c r="T68" s="14"/>
    </row>
    <row r="69" spans="12:20" ht="15">
      <c r="L69" s="17" t="s">
        <v>62</v>
      </c>
      <c r="O69" s="13" t="str">
        <f t="shared" si="0"/>
        <v>Überlagerungsdruck in mbar:</v>
      </c>
      <c r="P69" s="14" t="s">
        <v>15</v>
      </c>
      <c r="Q69" s="14" t="s">
        <v>26</v>
      </c>
      <c r="R69" s="14"/>
      <c r="S69" s="14"/>
      <c r="T69" s="14"/>
    </row>
    <row r="70" spans="12:20" ht="15">
      <c r="L70" s="18">
        <f>SUM(L71:L75)</f>
        <v>0</v>
      </c>
      <c r="M70" s="10" t="s">
        <v>18</v>
      </c>
      <c r="N70" s="10" t="s">
        <v>19</v>
      </c>
      <c r="O70" s="13" t="str">
        <f t="shared" si="0"/>
        <v xml:space="preserve"> 0 mbar bei atmosphärischem Betrieb</v>
      </c>
      <c r="P70" s="14" t="s">
        <v>27</v>
      </c>
      <c r="Q70" s="14" t="s">
        <v>65</v>
      </c>
      <c r="R70" s="14"/>
      <c r="S70" s="14"/>
      <c r="T70" s="14"/>
    </row>
    <row r="71" spans="12:20" ht="15">
      <c r="L71" s="17">
        <f>IF(C$6=O71,1,0)</f>
        <v>0</v>
      </c>
      <c r="M71" s="10">
        <f>IF($C$6=$O$71,30+$C9*$C7*0.98+$C8,0)</f>
        <v>0</v>
      </c>
      <c r="N71" s="10">
        <f>IF($C$6=$O$71,30+$C9*$C7*0.98,0)</f>
        <v>0</v>
      </c>
      <c r="O71" s="13" t="str">
        <f t="shared" si="0"/>
        <v xml:space="preserve">oberirdischer Behälter </v>
      </c>
      <c r="P71" s="14" t="s">
        <v>1</v>
      </c>
      <c r="Q71" s="14" t="s">
        <v>125</v>
      </c>
      <c r="R71" s="14"/>
      <c r="S71" s="14"/>
      <c r="T71" s="14"/>
    </row>
    <row r="72" spans="12:20" ht="15">
      <c r="L72" s="17">
        <f>IF(C$6=O72,1,0)</f>
        <v>0</v>
      </c>
      <c r="M72" s="10">
        <f>IF($C$6=$O72,IF($C9*$C7*0.98+C8&gt;1*$C7*0.98,30+$C9*$C7*0.98+C8,30+1*$C7*0.98),0)</f>
        <v>0</v>
      </c>
      <c r="N72" s="10">
        <f>IF($C$6=$O72,IF($C9&gt;1,30+$C9*$C7*0.98,30+1*$C7*0.98),0)</f>
        <v>0</v>
      </c>
      <c r="O72" s="13" t="str">
        <f t="shared" si="0"/>
        <v>unterirdischer Behälter</v>
      </c>
      <c r="P72" s="14" t="s">
        <v>0</v>
      </c>
      <c r="Q72" s="14" t="s">
        <v>4</v>
      </c>
      <c r="R72" s="14"/>
      <c r="S72" s="14"/>
      <c r="T72" s="14"/>
    </row>
    <row r="73" spans="12:20" ht="15">
      <c r="L73" s="17">
        <f>IF(C$6=O73,1,0)</f>
        <v>0</v>
      </c>
      <c r="M73" s="10">
        <v>0</v>
      </c>
      <c r="N73" s="10">
        <f>IF(C$6=O73,34,0)</f>
        <v>0</v>
      </c>
      <c r="O73" s="13" t="str">
        <f t="shared" si="0"/>
        <v>Behälter mit Leckschutzauskleidung und Saugleitung</v>
      </c>
      <c r="P73" s="14" t="s">
        <v>40</v>
      </c>
      <c r="Q73" s="14" t="s">
        <v>41</v>
      </c>
      <c r="R73" s="14"/>
      <c r="S73" s="14"/>
      <c r="T73" s="14"/>
    </row>
    <row r="74" spans="12:20" ht="15">
      <c r="L74" s="17">
        <f>IF(C$6=O74,1,0)</f>
        <v>0</v>
      </c>
      <c r="M74" s="10">
        <v>0</v>
      </c>
      <c r="N74" s="10">
        <f>IF(C$6=O74,330,0)</f>
        <v>0</v>
      </c>
      <c r="O74" s="13" t="str">
        <f t="shared" si="0"/>
        <v>Vertikal stehender Behälter mit Saugleitung (DIN 6618 u.ä.)</v>
      </c>
      <c r="P74" s="14" t="s">
        <v>42</v>
      </c>
      <c r="Q74" s="14" t="s">
        <v>43</v>
      </c>
      <c r="R74" s="14"/>
      <c r="S74" s="14"/>
      <c r="T74" s="14"/>
    </row>
    <row r="75" spans="12:20" ht="15">
      <c r="L75" s="17">
        <f>IF(C$6=O75,1,0)</f>
        <v>0</v>
      </c>
      <c r="M75" s="10">
        <v>0</v>
      </c>
      <c r="N75" s="10">
        <f>IF(C$6=O75,255,0)</f>
        <v>0</v>
      </c>
      <c r="O75" s="13" t="str">
        <f t="shared" si="0"/>
        <v>Flachbodentank</v>
      </c>
      <c r="P75" s="14" t="s">
        <v>2</v>
      </c>
      <c r="Q75" s="14" t="s">
        <v>5</v>
      </c>
      <c r="R75" s="14"/>
      <c r="S75" s="14"/>
      <c r="T75" s="14"/>
    </row>
    <row r="76" spans="15:20" ht="15">
      <c r="O76" s="13"/>
      <c r="P76" s="14"/>
      <c r="Q76" s="14"/>
      <c r="R76" s="14"/>
      <c r="S76" s="14"/>
      <c r="T76" s="14"/>
    </row>
    <row r="77" spans="15:20" ht="15">
      <c r="O77" s="13"/>
      <c r="P77" s="14"/>
      <c r="Q77" s="14"/>
      <c r="R77" s="14"/>
      <c r="S77" s="14"/>
      <c r="T77" s="14"/>
    </row>
    <row r="78" spans="15:20" ht="15">
      <c r="O78" s="13"/>
      <c r="P78" s="14"/>
      <c r="Q78" s="14"/>
      <c r="R78" s="14"/>
      <c r="S78" s="14"/>
      <c r="T78" s="14"/>
    </row>
    <row r="79" spans="15:20" ht="17.25">
      <c r="O79" s="13" t="str">
        <f>IF($C$2="DE",P79,IF($C$2="EN",Q79,IF($C$2="FR",R79,IF($C$2="ES",S79,IF($C$2="IT",T79)))))</f>
        <v>Lagergutdichte in g/cm3:</v>
      </c>
      <c r="P79" s="14" t="s">
        <v>16</v>
      </c>
      <c r="Q79" s="14" t="s">
        <v>17</v>
      </c>
      <c r="R79" s="14"/>
      <c r="S79" s="14"/>
      <c r="T79" s="14"/>
    </row>
    <row r="80" spans="15:20" ht="15">
      <c r="O80" s="13" t="str">
        <f>IF($C$2="DE",P80,IF($C$2="EN",Q80,IF($C$2="FR",R80,IF($C$2="ES",S80,IF($C$2="IT",T80)))))</f>
        <v>Mindest-Alarmdruck für:</v>
      </c>
      <c r="P80" s="14" t="s">
        <v>52</v>
      </c>
      <c r="Q80" s="14" t="s">
        <v>53</v>
      </c>
      <c r="R80" s="14"/>
      <c r="S80" s="14"/>
      <c r="T80" s="14"/>
    </row>
    <row r="81" spans="15:20" ht="15">
      <c r="O81" s="13" t="str">
        <f>IF($C$2="DE",P81,IF($C$2="EN",Q81,IF($C$2="FR",R81,IF($C$2="ES",S81,IF($C$2="IT",T81)))))</f>
        <v xml:space="preserve">Vakuum: </v>
      </c>
      <c r="P81" s="14" t="s">
        <v>71</v>
      </c>
      <c r="Q81" s="14" t="s">
        <v>73</v>
      </c>
      <c r="R81" s="14"/>
      <c r="S81" s="14"/>
      <c r="T81" s="14"/>
    </row>
    <row r="82" spans="15:20" ht="15">
      <c r="O82" s="13" t="str">
        <f>IF($C$2="DE",P82,IF($C$2="EN",Q82,IF($C$2="FR",R82,IF($C$2="ES",S82,IF($C$2="IT",T82)))))</f>
        <v xml:space="preserve">Druck: </v>
      </c>
      <c r="P82" s="14" t="s">
        <v>72</v>
      </c>
      <c r="Q82" s="14" t="s">
        <v>74</v>
      </c>
      <c r="R82" s="14"/>
      <c r="S82" s="14"/>
      <c r="T82" s="14"/>
    </row>
    <row r="83" spans="15:20" ht="15">
      <c r="O83" s="15" t="s">
        <v>44</v>
      </c>
      <c r="P83" s="14"/>
      <c r="Q83" s="14"/>
      <c r="R83" s="14"/>
      <c r="S83" s="14"/>
      <c r="T83" s="14"/>
    </row>
    <row r="84" spans="12:20" ht="15">
      <c r="L84" s="17" t="s">
        <v>46</v>
      </c>
      <c r="M84" s="10" t="s">
        <v>47</v>
      </c>
      <c r="N84" s="10" t="str">
        <f>CONCATENATE(N85,N86)</f>
        <v/>
      </c>
      <c r="O84" s="15" t="s">
        <v>45</v>
      </c>
      <c r="P84" s="14"/>
      <c r="Q84" s="14"/>
      <c r="R84" s="14"/>
      <c r="S84" s="14"/>
      <c r="T84" s="14"/>
    </row>
    <row r="85" spans="12:20" ht="15">
      <c r="L85" s="17">
        <f>C9</f>
        <v>0</v>
      </c>
      <c r="M85" s="10">
        <f>C7</f>
        <v>0</v>
      </c>
      <c r="N85" s="10" t="str">
        <f>IF(C6=O74,O85,"")</f>
        <v/>
      </c>
      <c r="O85" s="13" t="str">
        <f>IF($C$2="DE",P85,IF($C$2="EN",Q85,IF($C$2="FR",R85,IF($C$2="ES",S85,IF($C$2="IT",T85)))))</f>
        <v/>
      </c>
      <c r="P85" s="14" t="str">
        <f>IF(AND($M85&gt;959,$M85&lt;=1275,$L85&gt;1.6),"Behälter zu hoch für Dichte &gt; 1,6",IF(AND($M85&gt;1275,$L85&gt;1.2),"Behälter zu hoch für Dichte &gt; 1,2",""))</f>
        <v/>
      </c>
      <c r="Q85" s="14" t="str">
        <f>IF(AND($M85&gt;959,$M85&lt;=1275,$L85&gt;1.6),"tank to high for density &gt; 1,6",IF(AND($M85&gt;1275,$L85&gt;1.2),"tank to high for density &gt; 1,2",""))</f>
        <v/>
      </c>
      <c r="R85" s="14"/>
      <c r="S85" s="14"/>
      <c r="T85" s="14"/>
    </row>
    <row r="86" spans="15:20" ht="15">
      <c r="O86" s="13"/>
      <c r="P86" s="14"/>
      <c r="Q86" s="14"/>
      <c r="R86" s="14"/>
      <c r="S86" s="14"/>
      <c r="T86" s="14"/>
    </row>
    <row r="87" spans="12:20" ht="26.25">
      <c r="L87" s="63" t="s">
        <v>85</v>
      </c>
      <c r="O87" s="13"/>
      <c r="P87" s="14"/>
      <c r="Q87" s="14"/>
      <c r="R87" s="14"/>
      <c r="S87" s="14"/>
      <c r="T87" s="14"/>
    </row>
    <row r="88" spans="12:20" ht="15">
      <c r="L88" s="17" t="s">
        <v>62</v>
      </c>
      <c r="M88" s="10" t="s">
        <v>18</v>
      </c>
      <c r="N88" s="10" t="s">
        <v>19</v>
      </c>
      <c r="O88" s="13"/>
      <c r="P88" s="14"/>
      <c r="Q88" s="14"/>
      <c r="R88" s="14"/>
      <c r="S88" s="14"/>
      <c r="T88" s="14"/>
    </row>
    <row r="89" spans="15:20" ht="15">
      <c r="O89" s="13" t="str">
        <f aca="true" t="shared" si="1" ref="O89:O112">IF($C$2="DE",P89,IF($C$2="EN",Q89,IF($C$2="FR",R89,IF($C$2="ES",S89,IF($C$2="IT",T89)))))</f>
        <v>Rohre:</v>
      </c>
      <c r="P89" s="14" t="s">
        <v>48</v>
      </c>
      <c r="Q89" s="14" t="s">
        <v>49</v>
      </c>
      <c r="R89" s="14" t="s">
        <v>11</v>
      </c>
      <c r="S89" s="14"/>
      <c r="T89" s="14"/>
    </row>
    <row r="90" spans="12:20" ht="15">
      <c r="L90" s="18">
        <f>SUM(L91:L94)</f>
        <v>0</v>
      </c>
      <c r="M90" s="19">
        <f>SUM(M91:M94)</f>
        <v>0</v>
      </c>
      <c r="N90" s="19">
        <f>SUM(N91:N94)</f>
        <v>0</v>
      </c>
      <c r="O90" s="13" t="str">
        <f t="shared" si="1"/>
        <v>Rohrleitungstyp:</v>
      </c>
      <c r="P90" s="14" t="s">
        <v>21</v>
      </c>
      <c r="Q90" s="14" t="s">
        <v>66</v>
      </c>
      <c r="R90" s="14"/>
      <c r="S90" s="14"/>
      <c r="T90" s="14"/>
    </row>
    <row r="91" spans="12:20" ht="15">
      <c r="L91" s="17">
        <f>IF(C$19=O91,1,0)</f>
        <v>0</v>
      </c>
      <c r="M91" s="10">
        <f>IF($C$19=O91,C20+1,0)</f>
        <v>0</v>
      </c>
      <c r="N91" s="10">
        <f>IF(C19=O91,30+C37*N95*0.98,0)</f>
        <v>0</v>
      </c>
      <c r="O91" s="16" t="str">
        <f t="shared" si="1"/>
        <v>Druckrohrleitung</v>
      </c>
      <c r="P91" s="14" t="s">
        <v>22</v>
      </c>
      <c r="Q91" s="14" t="s">
        <v>67</v>
      </c>
      <c r="R91" s="14"/>
      <c r="S91" s="14"/>
      <c r="T91" s="14"/>
    </row>
    <row r="92" spans="12:20" ht="15">
      <c r="L92" s="17">
        <f aca="true" t="shared" si="2" ref="L92:L94">IF(C$19=O92,1,0)</f>
        <v>0</v>
      </c>
      <c r="M92" s="10">
        <f>IF($C$19=O92,1,0)</f>
        <v>0</v>
      </c>
      <c r="N92" s="10">
        <f>IF(C19=O92,IF(C37&gt;470,999,500),0)</f>
        <v>0</v>
      </c>
      <c r="O92" s="16" t="str">
        <f t="shared" si="1"/>
        <v xml:space="preserve">Saugleitung an Tankstelle </v>
      </c>
      <c r="P92" s="14" t="s">
        <v>89</v>
      </c>
      <c r="Q92" s="14" t="s">
        <v>90</v>
      </c>
      <c r="R92" s="14"/>
      <c r="S92" s="14"/>
      <c r="T92" s="14"/>
    </row>
    <row r="93" spans="12:20" ht="15">
      <c r="L93" s="17">
        <f t="shared" si="2"/>
        <v>0</v>
      </c>
      <c r="M93" s="10">
        <f aca="true" t="shared" si="3" ref="M93">IF($C$19=O93,2,0)</f>
        <v>0</v>
      </c>
      <c r="N93" s="10">
        <f>IF(C$19=O93,30+C$37*N$95*0.98,0)</f>
        <v>0</v>
      </c>
      <c r="O93" s="16" t="str">
        <f t="shared" si="1"/>
        <v xml:space="preserve">Füll-, Gasrückführungsrohre (Tankstelle) </v>
      </c>
      <c r="P93" s="14" t="s">
        <v>23</v>
      </c>
      <c r="Q93" s="14" t="s">
        <v>38</v>
      </c>
      <c r="R93" s="14"/>
      <c r="S93" s="14"/>
      <c r="T93" s="14"/>
    </row>
    <row r="94" spans="12:20" ht="15">
      <c r="L94" s="17">
        <f t="shared" si="2"/>
        <v>0</v>
      </c>
      <c r="M94" s="10">
        <f>IF($C$19=O94,1,0)</f>
        <v>0</v>
      </c>
      <c r="N94" s="10">
        <f>IF(C$19=O94,30+C$37*N$95*0.98,0)</f>
        <v>0</v>
      </c>
      <c r="O94" s="16" t="str">
        <f t="shared" si="1"/>
        <v>Drucklose Leitungen</v>
      </c>
      <c r="P94" s="14" t="s">
        <v>31</v>
      </c>
      <c r="Q94" s="14" t="s">
        <v>68</v>
      </c>
      <c r="R94" s="14"/>
      <c r="S94" s="14"/>
      <c r="T94" s="14"/>
    </row>
    <row r="95" spans="14:20" ht="17.25">
      <c r="N95" s="10">
        <f>IF(N109=1,IF(C23&lt;=1,1,C23),C23)</f>
        <v>0</v>
      </c>
      <c r="O95" s="13" t="str">
        <f t="shared" si="1"/>
        <v>Lagergutdichte in g/cm3:</v>
      </c>
      <c r="P95" s="14" t="s">
        <v>16</v>
      </c>
      <c r="Q95" s="14" t="s">
        <v>17</v>
      </c>
      <c r="R95" s="14"/>
      <c r="S95" s="14"/>
      <c r="T95" s="14"/>
    </row>
    <row r="96" spans="15:20" ht="15">
      <c r="O96" s="13" t="str">
        <f t="shared" si="1"/>
        <v>Geodätischer Höhenunterschied in cm.</v>
      </c>
      <c r="P96" s="14" t="s">
        <v>81</v>
      </c>
      <c r="Q96" s="14" t="s">
        <v>69</v>
      </c>
      <c r="R96" s="14"/>
      <c r="S96" s="14"/>
      <c r="T96" s="14"/>
    </row>
    <row r="97" spans="15:20" ht="15">
      <c r="O97" s="13" t="str">
        <f t="shared" si="1"/>
        <v>zwischen tiefsten Punkt und höchsten Punkt</v>
      </c>
      <c r="P97" s="14" t="s">
        <v>24</v>
      </c>
      <c r="Q97" s="14" t="s">
        <v>29</v>
      </c>
      <c r="R97" s="14"/>
      <c r="S97" s="14"/>
      <c r="T97" s="14"/>
    </row>
    <row r="98" spans="15:20" ht="15">
      <c r="O98" s="13" t="str">
        <f t="shared" si="1"/>
        <v>Anschlusspunkt des Leckanzeigers am Tiefpunkt</v>
      </c>
      <c r="P98" s="14" t="s">
        <v>25</v>
      </c>
      <c r="Q98" s="14" t="s">
        <v>77</v>
      </c>
      <c r="R98" s="14"/>
      <c r="S98" s="14"/>
      <c r="T98" s="14"/>
    </row>
    <row r="99" spans="15:17" ht="15">
      <c r="O99" s="13" t="str">
        <f t="shared" si="1"/>
        <v>Anschlusspunkt des Leckanzeigers am Hochpunkt</v>
      </c>
      <c r="P99" s="14" t="s">
        <v>30</v>
      </c>
      <c r="Q99" s="14" t="s">
        <v>78</v>
      </c>
    </row>
    <row r="100" spans="15:17" ht="15">
      <c r="O100" s="11" t="str">
        <f t="shared" si="1"/>
        <v>Max. Förderdruck im Innenrohr in bar:</v>
      </c>
      <c r="P100" s="12" t="s">
        <v>75</v>
      </c>
      <c r="Q100" s="12" t="s">
        <v>76</v>
      </c>
    </row>
    <row r="102" spans="12:17" ht="15">
      <c r="L102" s="17" t="str">
        <f>IF(SUM(L92:L94)=1,IF(C20=0,1,0),"")</f>
        <v/>
      </c>
      <c r="O102" s="11" t="str">
        <f t="shared" si="1"/>
        <v>&gt;" 0"  bei Druckrohrleitungen, sonst "0".</v>
      </c>
      <c r="P102" s="12" t="s">
        <v>122</v>
      </c>
      <c r="Q102" s="12" t="s">
        <v>123</v>
      </c>
    </row>
    <row r="103" spans="15:17" ht="15">
      <c r="O103" s="11" t="str">
        <f t="shared" si="1"/>
        <v xml:space="preserve">Druck: </v>
      </c>
      <c r="P103" s="12" t="s">
        <v>72</v>
      </c>
      <c r="Q103" s="12" t="s">
        <v>74</v>
      </c>
    </row>
    <row r="104" spans="15:17" ht="15">
      <c r="O104" s="11" t="str">
        <f t="shared" si="1"/>
        <v xml:space="preserve">Vakuum: </v>
      </c>
      <c r="P104" s="12" t="s">
        <v>71</v>
      </c>
      <c r="Q104" s="12" t="s">
        <v>73</v>
      </c>
    </row>
    <row r="105" spans="15:17" ht="60">
      <c r="O105" s="65" t="str">
        <f t="shared" si="1"/>
        <v>Höhe zwischen Anschlusspunkt an der Rohrleitung und Knotenpunkt (Verbindungsstelle zwischen Mess- und Saugleitung).</v>
      </c>
      <c r="P105" s="130" t="s">
        <v>138</v>
      </c>
      <c r="Q105" s="130" t="s">
        <v>141</v>
      </c>
    </row>
    <row r="106" spans="15:17" ht="45">
      <c r="O106" s="65" t="str">
        <f t="shared" si="1"/>
        <v>Höhe zwischen tiefstem Punkt der Rohrleitung und dem Anschlusspunkt an der Rohrleitung.</v>
      </c>
      <c r="P106" s="130" t="s">
        <v>139</v>
      </c>
      <c r="Q106" s="130" t="s">
        <v>140</v>
      </c>
    </row>
    <row r="107" spans="12:17" ht="15">
      <c r="L107" s="17" t="s">
        <v>62</v>
      </c>
      <c r="O107" s="11" t="str">
        <f t="shared" si="1"/>
        <v>Hmax:</v>
      </c>
      <c r="P107" s="12" t="s">
        <v>36</v>
      </c>
      <c r="Q107" s="12" t="s">
        <v>36</v>
      </c>
    </row>
    <row r="108" spans="12:17" ht="15">
      <c r="L108" s="18">
        <f>SUM(L109:L110)</f>
        <v>0</v>
      </c>
      <c r="O108" s="11" t="str">
        <f t="shared" si="1"/>
        <v>Verlegung der Rohrleitung:</v>
      </c>
      <c r="P108" s="12" t="s">
        <v>34</v>
      </c>
      <c r="Q108" s="12" t="s">
        <v>35</v>
      </c>
    </row>
    <row r="109" spans="12:17" ht="15">
      <c r="L109" s="17">
        <f>IF(C$24=O109,1,0)</f>
        <v>0</v>
      </c>
      <c r="N109" s="10">
        <f>IF(C24=O109,1,0)</f>
        <v>0</v>
      </c>
      <c r="O109" s="11" t="str">
        <f t="shared" si="1"/>
        <v>unterirdisch</v>
      </c>
      <c r="P109" s="12" t="s">
        <v>28</v>
      </c>
      <c r="Q109" s="12" t="s">
        <v>37</v>
      </c>
    </row>
    <row r="110" spans="12:17" ht="15">
      <c r="L110" s="17">
        <f>IF(C$24=O110,1,0)</f>
        <v>0</v>
      </c>
      <c r="O110" s="11" t="str">
        <f t="shared" si="1"/>
        <v xml:space="preserve">oberirdisch </v>
      </c>
      <c r="P110" s="12" t="s">
        <v>33</v>
      </c>
      <c r="Q110" s="12" t="s">
        <v>126</v>
      </c>
    </row>
    <row r="111" spans="15:17" ht="15">
      <c r="O111" s="11" t="str">
        <f t="shared" si="1"/>
        <v>Für Saugleitungen bitte Behälterdurchmesser angeben</v>
      </c>
      <c r="P111" s="12" t="s">
        <v>79</v>
      </c>
      <c r="Q111" s="12" t="s">
        <v>80</v>
      </c>
    </row>
    <row r="112" spans="15:17" ht="15">
      <c r="O112" s="11" t="str">
        <f t="shared" si="1"/>
        <v xml:space="preserve">Zusatzinformationen für Vakuum: </v>
      </c>
      <c r="P112" s="12" t="s">
        <v>59</v>
      </c>
      <c r="Q112" s="12" t="s">
        <v>60</v>
      </c>
    </row>
    <row r="114" ht="26.25">
      <c r="L114" s="63" t="s">
        <v>86</v>
      </c>
    </row>
    <row r="115" spans="12:21" s="68" customFormat="1" ht="26.25">
      <c r="L115" s="63"/>
      <c r="M115" s="64"/>
      <c r="N115" s="64"/>
      <c r="O115" s="65" t="str">
        <f>IF($C$2="DE",P115,IF($C$2="EN",Q115,IF($C$2="FR",R115,IF($C$2="ES",S115,IF($C$2="IT",T115)))))</f>
        <v xml:space="preserve">Bitte "?"- Angaben vervollständigen. </v>
      </c>
      <c r="P115" s="66" t="s">
        <v>88</v>
      </c>
      <c r="Q115" s="66" t="s">
        <v>87</v>
      </c>
      <c r="R115" s="66"/>
      <c r="S115" s="66"/>
      <c r="T115" s="66"/>
      <c r="U115" s="67"/>
    </row>
    <row r="116" spans="12:17" ht="30">
      <c r="L116" s="63"/>
      <c r="O116" s="13" t="str">
        <f>IF($C$2="DE",P116,IF($C$2="EN",Q116,IF($C$2="FR",R116,IF($C$2="ES",S116,IF($C$2="IT",T116)))))</f>
        <v>Kein Ergebnis? Bitte kontaktieren Sie unser Verkaufsteam.</v>
      </c>
      <c r="P116" s="69" t="s">
        <v>91</v>
      </c>
      <c r="Q116" s="12" t="s">
        <v>92</v>
      </c>
    </row>
    <row r="117" spans="15:20" ht="150">
      <c r="O117" s="13" t="str">
        <f>IF($C$2="DE",P117,IF($C$2="EN",Q117,IF($C$2="FR",R117,IF($C$2="ES",S117,IF($C$2="IT",T117)))))</f>
        <v>Neben dem Auswahlkriterium „Alarmdruck“ müssen zur endgültigen Bestimmung des geeigneten Leckanzeigers weitere Faktoren wie die hinreichende Druckfestigkeit des Überwachungsraums sowie die chemische und explosionstechnische Eignung des Leckanzeigers bzw. des gesamten einzusetzenden Equipments beachtet werden!</v>
      </c>
      <c r="P117" s="22" t="s">
        <v>128</v>
      </c>
      <c r="Q117" s="22" t="s">
        <v>133</v>
      </c>
      <c r="R117" s="14"/>
      <c r="S117" s="14"/>
      <c r="T117" s="14"/>
    </row>
    <row r="118" spans="15:20" ht="45">
      <c r="O118" s="13" t="str">
        <f>IF($C$2="DE",P118,IF($C$2="EN",Q118,IF($C$2="FR",R118,IF($C$2="ES",S118,IF($C$2="IT",T118)))))</f>
        <v xml:space="preserve">Bitte beachten Sie die einzuhaltenden Vorgaben aus den jeweiligen Dokumentationen zu unseren Leckanzeigern. </v>
      </c>
      <c r="P118" s="22" t="s">
        <v>70</v>
      </c>
      <c r="Q118" s="22" t="s">
        <v>82</v>
      </c>
      <c r="R118" s="14"/>
      <c r="S118" s="14"/>
      <c r="T118" s="14"/>
    </row>
    <row r="119" spans="15:20" ht="30">
      <c r="O119" s="13" t="str">
        <f>IF($C$2="DE",P119,IF($C$2="EN",Q119,IF($C$2="FR",R119,IF($C$2="ES",S119,IF($C$2="IT",T119)))))</f>
        <v>Unser Verkaufsteam berät Sie gerne:  +49 271 48964-0</v>
      </c>
      <c r="P119" s="22" t="s">
        <v>134</v>
      </c>
      <c r="Q119" s="22" t="s">
        <v>135</v>
      </c>
      <c r="R119" s="14"/>
      <c r="S119" s="14"/>
      <c r="T119" s="14"/>
    </row>
    <row r="120" spans="15:20" ht="15">
      <c r="O120" s="13" t="str">
        <f aca="true" t="shared" si="4" ref="O120:O129">IF($C$2="DE",P120,IF($C$2="EN",Q120,IF($C$2="FR",R120,IF($C$2="ES",S120,IF($C$2="IT",T120)))))</f>
        <v>Einheitenrechner</v>
      </c>
      <c r="P120" s="22" t="s">
        <v>129</v>
      </c>
      <c r="Q120" s="14" t="s">
        <v>130</v>
      </c>
      <c r="R120" s="14"/>
      <c r="S120" s="14"/>
      <c r="T120" s="14"/>
    </row>
    <row r="121" spans="15:20" ht="15">
      <c r="O121" s="13" t="str">
        <f t="shared" si="4"/>
        <v>Zurück zum Alarmdruck-Rechner</v>
      </c>
      <c r="P121" s="22" t="s">
        <v>131</v>
      </c>
      <c r="Q121" s="14" t="s">
        <v>132</v>
      </c>
      <c r="R121" s="14"/>
      <c r="S121" s="14"/>
      <c r="T121" s="14"/>
    </row>
    <row r="122" spans="15:17" ht="15">
      <c r="O122" s="13" t="str">
        <f t="shared" si="4"/>
        <v>Einheitenrechner für:</v>
      </c>
      <c r="P122" s="12" t="s">
        <v>119</v>
      </c>
      <c r="Q122" s="12" t="s">
        <v>120</v>
      </c>
    </row>
    <row r="123" spans="15:17" ht="15">
      <c r="O123" s="13" t="str">
        <f t="shared" si="4"/>
        <v>Druck</v>
      </c>
      <c r="P123" s="12" t="s">
        <v>18</v>
      </c>
      <c r="Q123" s="12" t="s">
        <v>118</v>
      </c>
    </row>
    <row r="124" spans="15:17" ht="15">
      <c r="O124" s="13" t="str">
        <f t="shared" si="4"/>
        <v>Länge</v>
      </c>
      <c r="P124" s="12" t="s">
        <v>116</v>
      </c>
      <c r="Q124" s="12" t="s">
        <v>117</v>
      </c>
    </row>
    <row r="125" spans="15:17" ht="15">
      <c r="O125" s="13" t="str">
        <f t="shared" si="4"/>
        <v>Temperatur</v>
      </c>
      <c r="P125" s="12" t="s">
        <v>101</v>
      </c>
      <c r="Q125" s="12" t="s">
        <v>102</v>
      </c>
    </row>
    <row r="126" spans="15:17" ht="15">
      <c r="O126" s="11" t="str">
        <f t="shared" si="4"/>
        <v>Volumen</v>
      </c>
      <c r="P126" s="12" t="s">
        <v>105</v>
      </c>
      <c r="Q126" s="12" t="s">
        <v>108</v>
      </c>
    </row>
    <row r="127" spans="15:17" ht="15">
      <c r="O127" s="11" t="str">
        <f t="shared" si="4"/>
        <v>Liter</v>
      </c>
      <c r="P127" s="12" t="s">
        <v>106</v>
      </c>
      <c r="Q127" s="12" t="s">
        <v>107</v>
      </c>
    </row>
    <row r="128" spans="15:17" ht="15">
      <c r="O128" s="11" t="str">
        <f t="shared" si="4"/>
        <v>Gallonen (US)</v>
      </c>
      <c r="P128" s="12" t="s">
        <v>115</v>
      </c>
      <c r="Q128" s="12" t="s">
        <v>114</v>
      </c>
    </row>
    <row r="129" spans="15:17" ht="15">
      <c r="O129" s="11" t="str">
        <f t="shared" si="4"/>
        <v xml:space="preserve">Dichte </v>
      </c>
      <c r="P129" s="12" t="s">
        <v>112</v>
      </c>
      <c r="Q129" s="12" t="s">
        <v>113</v>
      </c>
    </row>
  </sheetData>
  <sheetProtection algorithmName="SHA-512" hashValue="92b9u0C2qam/wBTQ4h+t7PLDsIbdMUgL8rrKqhhtXfy61Vp+H6o/qaYBx5cd+GpM7trJ2bktbESJk0oN5gfGkA==" saltValue="9HWH2DsdviWgVHHGJLl9dg==" spinCount="100000" sheet="1" objects="1" scenarios="1"/>
  <mergeCells count="11">
    <mergeCell ref="C6:H6"/>
    <mergeCell ref="C19:H19"/>
    <mergeCell ref="C24:G24"/>
    <mergeCell ref="B47:J47"/>
    <mergeCell ref="B48:I48"/>
    <mergeCell ref="G41:H42"/>
    <mergeCell ref="G43:H44"/>
    <mergeCell ref="G12:H13"/>
    <mergeCell ref="G14:H15"/>
    <mergeCell ref="G30:H32"/>
    <mergeCell ref="G33:H35"/>
  </mergeCells>
  <dataValidations count="6">
    <dataValidation type="whole" allowBlank="1" showInputMessage="1" showErrorMessage="1" sqref="C7">
      <formula1>50</formula1>
      <formula2>2500</formula2>
    </dataValidation>
    <dataValidation type="decimal" allowBlank="1" showInputMessage="1" showErrorMessage="1" sqref="C9 C23">
      <formula1>0.1</formula1>
      <formula2>2</formula2>
    </dataValidation>
    <dataValidation type="list" allowBlank="1" showInputMessage="1" showErrorMessage="1" sqref="C6:D6">
      <formula1>$O$71:$O$75</formula1>
    </dataValidation>
    <dataValidation type="list" allowBlank="1" showInputMessage="1" showErrorMessage="1" sqref="C19:H19">
      <formula1>$O$91:$O$94</formula1>
    </dataValidation>
    <dataValidation type="list" allowBlank="1" showInputMessage="1" showErrorMessage="1" sqref="C24:D24">
      <formula1>$O$109:$O$110</formula1>
    </dataValidation>
    <dataValidation type="list" allowBlank="1" showInputMessage="1" showErrorMessage="1" sqref="C2">
      <formula1>$P$58:$Q$58</formula1>
    </dataValidation>
  </dataValidations>
  <hyperlinks>
    <hyperlink ref="H4" location="'unit calculator'!A1" display="'unit calculator'!A1"/>
  </hyperlinks>
  <printOptions/>
  <pageMargins left="0.7" right="0.7" top="0.787401575" bottom="0.787401575" header="0.3" footer="0.3"/>
  <pageSetup horizontalDpi="600" verticalDpi="600" orientation="portrait" paperSize="9" r:id="rId4"/>
  <ignoredErrors>
    <ignoredError sqref="M93 B23" formula="1"/>
    <ignoredError sqref="D7:D9 D23 D31 D34"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AA850-3E31-44B4-B3A5-2F96A767FCD2}">
  <dimension ref="A1:F29"/>
  <sheetViews>
    <sheetView workbookViewId="0" topLeftCell="A1">
      <selection activeCell="J18" sqref="J18"/>
    </sheetView>
  </sheetViews>
  <sheetFormatPr defaultColWidth="11.421875" defaultRowHeight="15"/>
  <sheetData>
    <row r="1" spans="1:6" ht="30.75" customHeight="1" thickBot="1">
      <c r="A1" s="142" t="str">
        <f>' alarm pressure calculator'!O121</f>
        <v>Zurück zum Alarmdruck-Rechner</v>
      </c>
      <c r="B1" s="143"/>
      <c r="C1" s="143"/>
      <c r="D1" s="143"/>
      <c r="E1" s="143"/>
      <c r="F1" s="144"/>
    </row>
    <row r="2" spans="1:6" ht="31.5" customHeight="1" thickBot="1">
      <c r="A2" s="126" t="str">
        <f>' alarm pressure calculator'!O122</f>
        <v>Einheitenrechner für:</v>
      </c>
      <c r="B2" s="124"/>
      <c r="C2" s="124"/>
      <c r="D2" s="124"/>
      <c r="E2" s="124"/>
      <c r="F2" s="125"/>
    </row>
    <row r="3" spans="1:6" ht="26.25" customHeight="1">
      <c r="A3" s="83" t="str">
        <f>' alarm pressure calculator'!O123</f>
        <v>Druck</v>
      </c>
      <c r="B3" s="84"/>
      <c r="C3" s="84"/>
      <c r="D3" s="84"/>
      <c r="E3" s="84"/>
      <c r="F3" s="85"/>
    </row>
    <row r="4" spans="1:6" ht="15">
      <c r="A4" s="86"/>
      <c r="B4" s="70" t="s">
        <v>57</v>
      </c>
      <c r="C4" s="70" t="s">
        <v>93</v>
      </c>
      <c r="D4" s="70" t="s">
        <v>94</v>
      </c>
      <c r="E4" s="70" t="s">
        <v>95</v>
      </c>
      <c r="F4" s="73" t="s">
        <v>96</v>
      </c>
    </row>
    <row r="5" spans="1:6" ht="15">
      <c r="A5" s="86"/>
      <c r="B5" s="87">
        <v>1000</v>
      </c>
      <c r="C5" s="87">
        <v>14.5</v>
      </c>
      <c r="D5" s="88">
        <v>-29.5299</v>
      </c>
      <c r="E5" s="89">
        <v>10000</v>
      </c>
      <c r="F5" s="89">
        <v>100000</v>
      </c>
    </row>
    <row r="6" spans="1:6" ht="15">
      <c r="A6" s="76" t="s">
        <v>57</v>
      </c>
      <c r="B6" s="77" t="s">
        <v>97</v>
      </c>
      <c r="C6" s="121">
        <f>C5/14.50377*1000</f>
        <v>999.7400675824287</v>
      </c>
      <c r="D6" s="121">
        <f>D5/29.5299*1000</f>
        <v>-1000</v>
      </c>
      <c r="E6" s="121">
        <f>E5/10197.16*1000</f>
        <v>980.6652048217347</v>
      </c>
      <c r="F6" s="122">
        <f>F5/100000*1000</f>
        <v>1000</v>
      </c>
    </row>
    <row r="7" spans="1:6" ht="15">
      <c r="A7" s="110" t="s">
        <v>93</v>
      </c>
      <c r="B7" s="111">
        <f>B5*14.5/1000</f>
        <v>14.5</v>
      </c>
      <c r="C7" s="111" t="s">
        <v>97</v>
      </c>
      <c r="D7" s="111">
        <f>D5/29.5299*14.50377</f>
        <v>-14.50377</v>
      </c>
      <c r="E7" s="111">
        <f>E5/10197.16*14.50377</f>
        <v>14.22334257773733</v>
      </c>
      <c r="F7" s="112">
        <f>F5/100000*14.50377</f>
        <v>14.50377</v>
      </c>
    </row>
    <row r="8" spans="1:6" ht="15">
      <c r="A8" s="110" t="s">
        <v>94</v>
      </c>
      <c r="B8" s="111">
        <f>B5*29.5299/1000</f>
        <v>29.5299</v>
      </c>
      <c r="C8" s="111">
        <f>C5/14.50377*29.5299</f>
        <v>29.52222422170236</v>
      </c>
      <c r="D8" s="111" t="s">
        <v>97</v>
      </c>
      <c r="E8" s="111">
        <f>E5/10197.16*29.5299</f>
        <v>28.958945431865345</v>
      </c>
      <c r="F8" s="112">
        <f>F5/100000*29.5299</f>
        <v>29.5299</v>
      </c>
    </row>
    <row r="9" spans="1:6" ht="15">
      <c r="A9" s="110" t="s">
        <v>95</v>
      </c>
      <c r="B9" s="113">
        <f>B5*10197.16/1000</f>
        <v>10197.16</v>
      </c>
      <c r="C9" s="113">
        <f>C5/14.50377*10197.16</f>
        <v>10194.509427548837</v>
      </c>
      <c r="D9" s="113">
        <f>D5/29.5299*10197.16</f>
        <v>-10197.16</v>
      </c>
      <c r="E9" s="114" t="s">
        <v>97</v>
      </c>
      <c r="F9" s="113">
        <f>F5/100000*10197.16</f>
        <v>10197.16</v>
      </c>
    </row>
    <row r="10" spans="1:6" ht="15.75" thickBot="1">
      <c r="A10" s="115" t="s">
        <v>96</v>
      </c>
      <c r="B10" s="116">
        <f>B5*100000/1000</f>
        <v>100000</v>
      </c>
      <c r="C10" s="116">
        <f>C5/14.50377*100000</f>
        <v>99974.00675824286</v>
      </c>
      <c r="D10" s="116">
        <f>D5/29.5299*100000</f>
        <v>-100000</v>
      </c>
      <c r="E10" s="116">
        <f>E5/10197.16*100000</f>
        <v>98066.52048217347</v>
      </c>
      <c r="F10" s="117" t="s">
        <v>97</v>
      </c>
    </row>
    <row r="11" spans="1:6" ht="15.75" thickBot="1">
      <c r="A11" s="91"/>
      <c r="B11" s="91"/>
      <c r="C11" s="91"/>
      <c r="D11" s="91"/>
      <c r="E11" s="91"/>
      <c r="F11" s="91"/>
    </row>
    <row r="12" spans="1:6" ht="25.5" customHeight="1">
      <c r="A12" s="139" t="str">
        <f>' alarm pressure calculator'!O124</f>
        <v>Länge</v>
      </c>
      <c r="B12" s="140"/>
      <c r="C12" s="140"/>
      <c r="D12" s="140"/>
      <c r="E12" s="140"/>
      <c r="F12" s="141"/>
    </row>
    <row r="13" spans="1:6" ht="15">
      <c r="A13" s="86"/>
      <c r="B13" s="70" t="s">
        <v>32</v>
      </c>
      <c r="C13" s="70" t="s">
        <v>98</v>
      </c>
      <c r="D13" s="70" t="s">
        <v>99</v>
      </c>
      <c r="E13" s="127" t="s">
        <v>121</v>
      </c>
      <c r="F13" s="93"/>
    </row>
    <row r="14" spans="1:6" ht="15">
      <c r="A14" s="94"/>
      <c r="B14" s="87">
        <v>10</v>
      </c>
      <c r="C14" s="87">
        <v>900</v>
      </c>
      <c r="D14" s="87">
        <v>10</v>
      </c>
      <c r="E14" s="127"/>
      <c r="F14" s="93"/>
    </row>
    <row r="15" spans="1:6" ht="15">
      <c r="A15" s="76" t="s">
        <v>32</v>
      </c>
      <c r="B15" s="77" t="s">
        <v>97</v>
      </c>
      <c r="C15" s="123">
        <f>C14/3.28084*100</f>
        <v>27431.99912217603</v>
      </c>
      <c r="D15" s="123">
        <f>D14/39.37008*100</f>
        <v>25.399999187200024</v>
      </c>
      <c r="E15" s="123">
        <f>D15+C15</f>
        <v>27457.39912136323</v>
      </c>
      <c r="F15" s="93"/>
    </row>
    <row r="16" spans="1:6" ht="15">
      <c r="A16" s="110" t="s">
        <v>100</v>
      </c>
      <c r="B16" s="111">
        <f>B14*3.28084/100</f>
        <v>0.328084</v>
      </c>
      <c r="C16" s="114" t="s">
        <v>97</v>
      </c>
      <c r="D16" s="118">
        <f>D14/39.37008*3.28084</f>
        <v>0.8333333333333333</v>
      </c>
      <c r="E16" s="92"/>
      <c r="F16" s="93"/>
    </row>
    <row r="17" spans="1:6" ht="15.75" thickBot="1">
      <c r="A17" s="115" t="s">
        <v>99</v>
      </c>
      <c r="B17" s="119">
        <f>B14*39.37008/100</f>
        <v>3.937008</v>
      </c>
      <c r="C17" s="119">
        <f>C14/3.28084*39.37008</f>
        <v>10800</v>
      </c>
      <c r="D17" s="120" t="s">
        <v>97</v>
      </c>
      <c r="E17" s="96"/>
      <c r="F17" s="97"/>
    </row>
    <row r="18" spans="1:6" ht="15.75" thickBot="1">
      <c r="A18" s="91"/>
      <c r="B18" s="91"/>
      <c r="C18" s="91"/>
      <c r="D18" s="91"/>
      <c r="E18" s="91"/>
      <c r="F18" s="91"/>
    </row>
    <row r="19" spans="1:6" ht="25.5" customHeight="1">
      <c r="A19" s="98" t="str">
        <f>' alarm pressure calculator'!O125</f>
        <v>Temperatur</v>
      </c>
      <c r="B19" s="99"/>
      <c r="C19" s="99"/>
      <c r="D19" s="98" t="str">
        <f>' alarm pressure calculator'!O126</f>
        <v>Volumen</v>
      </c>
      <c r="E19" s="99"/>
      <c r="F19" s="100"/>
    </row>
    <row r="20" spans="1:6" ht="15">
      <c r="A20" s="94"/>
      <c r="B20" s="77" t="s">
        <v>103</v>
      </c>
      <c r="C20" s="80" t="s">
        <v>104</v>
      </c>
      <c r="D20" s="94"/>
      <c r="E20" s="77" t="str">
        <f>' alarm pressure calculator'!O127</f>
        <v>Liter</v>
      </c>
      <c r="F20" s="81" t="str">
        <f>' alarm pressure calculator'!O128</f>
        <v>Gallonen (US)</v>
      </c>
    </row>
    <row r="21" spans="1:6" ht="15">
      <c r="A21" s="94"/>
      <c r="B21" s="101">
        <v>100</v>
      </c>
      <c r="C21" s="102">
        <v>212</v>
      </c>
      <c r="D21" s="94"/>
      <c r="E21" s="87">
        <v>100</v>
      </c>
      <c r="F21" s="103">
        <v>1</v>
      </c>
    </row>
    <row r="22" spans="1:6" ht="15">
      <c r="A22" s="76" t="s">
        <v>103</v>
      </c>
      <c r="B22" s="77" t="s">
        <v>97</v>
      </c>
      <c r="C22" s="104">
        <f>(C21-32)*5/9</f>
        <v>100</v>
      </c>
      <c r="D22" s="76" t="str">
        <f>' alarm pressure calculator'!O127</f>
        <v>Liter</v>
      </c>
      <c r="E22" s="77" t="s">
        <v>97</v>
      </c>
      <c r="F22" s="90">
        <f>F21*3.78541178</f>
        <v>3.78541178</v>
      </c>
    </row>
    <row r="23" spans="1:6" ht="15.75" thickBot="1">
      <c r="A23" s="78" t="s">
        <v>104</v>
      </c>
      <c r="B23" s="105">
        <f>B21*9/5+32</f>
        <v>212</v>
      </c>
      <c r="C23" s="82" t="s">
        <v>97</v>
      </c>
      <c r="D23" s="78" t="str">
        <f>' alarm pressure calculator'!O128</f>
        <v>Gallonen (US)</v>
      </c>
      <c r="E23" s="95">
        <f>E21/3.78541178</f>
        <v>26.417205263729592</v>
      </c>
      <c r="F23" s="79" t="s">
        <v>97</v>
      </c>
    </row>
    <row r="24" spans="1:6" ht="15.75" thickBot="1">
      <c r="A24" s="91"/>
      <c r="B24" s="91"/>
      <c r="C24" s="91"/>
      <c r="D24" s="91"/>
      <c r="E24" s="91"/>
      <c r="F24" s="91"/>
    </row>
    <row r="25" spans="1:6" ht="21" customHeight="1">
      <c r="A25" s="98" t="str">
        <f>' alarm pressure calculator'!O129</f>
        <v xml:space="preserve">Dichte </v>
      </c>
      <c r="B25" s="99"/>
      <c r="C25" s="100"/>
      <c r="D25" s="91"/>
      <c r="E25" s="91"/>
      <c r="F25" s="91"/>
    </row>
    <row r="26" spans="1:6" ht="15">
      <c r="A26" s="86"/>
      <c r="B26" s="70" t="s">
        <v>111</v>
      </c>
      <c r="C26" s="74" t="s">
        <v>109</v>
      </c>
      <c r="D26" s="91"/>
      <c r="E26" s="91"/>
      <c r="F26" s="91"/>
    </row>
    <row r="27" spans="1:6" ht="15">
      <c r="A27" s="86"/>
      <c r="B27" s="106">
        <v>1.9</v>
      </c>
      <c r="C27" s="107">
        <v>0.23</v>
      </c>
      <c r="D27" s="91"/>
      <c r="E27" s="91"/>
      <c r="F27" s="91"/>
    </row>
    <row r="28" spans="1:6" ht="15">
      <c r="A28" s="72" t="s">
        <v>111</v>
      </c>
      <c r="B28" s="70" t="s">
        <v>110</v>
      </c>
      <c r="C28" s="108">
        <f>C27*8.345453</f>
        <v>1.91945419</v>
      </c>
      <c r="D28" s="91"/>
      <c r="E28" s="91"/>
      <c r="F28" s="91"/>
    </row>
    <row r="29" spans="1:6" ht="15.75" thickBot="1">
      <c r="A29" s="75" t="s">
        <v>109</v>
      </c>
      <c r="B29" s="109">
        <f>B27/8.345453</f>
        <v>0.22766888747680925</v>
      </c>
      <c r="C29" s="71" t="s">
        <v>97</v>
      </c>
      <c r="D29" s="91"/>
      <c r="E29" s="91"/>
      <c r="F29" s="91"/>
    </row>
  </sheetData>
  <sheetProtection algorithmName="SHA-512" hashValue="OIeZegXT8mnCpQJnLkt0gSB99jUIRLxuGej5rEZIxZq1fZtLtOg0FA8S4xywtaUjumQVu5BeK8emEr9HnqmEKw==" saltValue="4icyNw6/2VOUA+7XkCieBg==" spinCount="100000" sheet="1" objects="1" scenarios="1"/>
  <mergeCells count="2">
    <mergeCell ref="A12:F12"/>
    <mergeCell ref="A1:F1"/>
  </mergeCells>
  <hyperlinks>
    <hyperlink ref="A1:F1" location="' alarm pressure calculator'!A1" display="' alarm pressure calculator'!A1"/>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 Jost</dc:creator>
  <cp:keywords/>
  <dc:description/>
  <cp:lastModifiedBy>Berg, Jost</cp:lastModifiedBy>
  <dcterms:created xsi:type="dcterms:W3CDTF">2019-09-04T12:57:49Z</dcterms:created>
  <dcterms:modified xsi:type="dcterms:W3CDTF">2020-05-29T09:42:02Z</dcterms:modified>
  <cp:category/>
  <cp:version/>
  <cp:contentType/>
  <cp:contentStatus/>
</cp:coreProperties>
</file>